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210" activeTab="1"/>
  </bookViews>
  <sheets>
    <sheet name="readme" sheetId="2" r:id="rId1"/>
    <sheet name="calculation" sheetId="1" r:id="rId2"/>
  </sheets>
  <calcPr calcId="125725"/>
</workbook>
</file>

<file path=xl/calcChain.xml><?xml version="1.0" encoding="utf-8"?>
<calcChain xmlns="http://schemas.openxmlformats.org/spreadsheetml/2006/main">
  <c r="G57" i="1"/>
  <c r="G47"/>
  <c r="E47"/>
  <c r="D47"/>
  <c r="B47"/>
  <c r="L12"/>
  <c r="D12" s="1"/>
  <c r="C16" l="1"/>
  <c r="A47"/>
  <c r="I24"/>
  <c r="J24" s="1"/>
  <c r="H24"/>
  <c r="P33"/>
  <c r="P32"/>
  <c r="P31"/>
  <c r="P30"/>
  <c r="P29"/>
  <c r="I33"/>
  <c r="J33" s="1"/>
  <c r="H33"/>
  <c r="I32"/>
  <c r="J32" s="1"/>
  <c r="H32"/>
  <c r="I31"/>
  <c r="J31" s="1"/>
  <c r="H31"/>
  <c r="I30"/>
  <c r="J30" s="1"/>
  <c r="H30"/>
  <c r="I29"/>
  <c r="J29" s="1"/>
  <c r="H29"/>
  <c r="K32" l="1"/>
  <c r="M32" s="1"/>
  <c r="K30"/>
  <c r="Q33"/>
  <c r="Q31"/>
  <c r="K31"/>
  <c r="M31" s="1"/>
  <c r="Q32"/>
  <c r="Q30"/>
  <c r="Q29"/>
  <c r="C47"/>
  <c r="F16"/>
  <c r="F47" s="1"/>
  <c r="K24"/>
  <c r="L24" s="1"/>
  <c r="M24" s="1"/>
  <c r="K33"/>
  <c r="M33" s="1"/>
  <c r="K29"/>
  <c r="S32" l="1"/>
  <c r="V32" s="1"/>
  <c r="L32"/>
  <c r="S31"/>
  <c r="V31" s="1"/>
  <c r="S29"/>
  <c r="V29" s="1"/>
  <c r="R30"/>
  <c r="U30" s="1"/>
  <c r="R32"/>
  <c r="U32" s="1"/>
  <c r="R31"/>
  <c r="U31" s="1"/>
  <c r="L31"/>
  <c r="S30"/>
  <c r="V30" s="1"/>
  <c r="M30"/>
  <c r="N31" s="1"/>
  <c r="R29"/>
  <c r="U29" s="1"/>
  <c r="M47"/>
  <c r="N47"/>
  <c r="L30"/>
  <c r="S33"/>
  <c r="V33" s="1"/>
  <c r="R33"/>
  <c r="U33" s="1"/>
  <c r="L33"/>
  <c r="M29"/>
  <c r="N33"/>
  <c r="N32"/>
  <c r="W32" l="1"/>
  <c r="W29"/>
  <c r="T29"/>
  <c r="W30"/>
  <c r="W31"/>
  <c r="T30"/>
  <c r="T32"/>
  <c r="N30"/>
  <c r="N35" s="1"/>
  <c r="D38" s="1"/>
  <c r="D39" s="1"/>
  <c r="K47" s="1"/>
  <c r="T31"/>
  <c r="L35"/>
  <c r="W33"/>
  <c r="T33"/>
  <c r="W35" l="1"/>
  <c r="W37" s="1"/>
  <c r="T35"/>
  <c r="T37" s="1"/>
  <c r="D41"/>
  <c r="J47" s="1"/>
  <c r="K49" l="1"/>
  <c r="W41"/>
  <c r="L47" s="1"/>
  <c r="T41"/>
  <c r="J49" l="1"/>
</calcChain>
</file>

<file path=xl/comments1.xml><?xml version="1.0" encoding="utf-8"?>
<comments xmlns="http://schemas.openxmlformats.org/spreadsheetml/2006/main">
  <authors>
    <author>viladrich</author>
  </authors>
  <commentList>
    <comment ref="G12" authorId="0">
      <text>
        <r>
          <rPr>
            <b/>
            <sz val="9"/>
            <color indexed="81"/>
            <rFont val="Tahoma"/>
            <family val="2"/>
          </rPr>
          <t>moyenne de 2 mesures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4" authorId="0">
      <text>
        <r>
          <rPr>
            <b/>
            <sz val="9"/>
            <color indexed="81"/>
            <rFont val="Tahoma"/>
            <family val="2"/>
          </rPr>
          <t>viladrich:</t>
        </r>
        <r>
          <rPr>
            <sz val="9"/>
            <color indexed="81"/>
            <rFont val="Tahoma"/>
            <family val="2"/>
          </rPr>
          <t xml:space="preserve">
symetrique</t>
        </r>
      </text>
    </comment>
  </commentList>
</comments>
</file>

<file path=xl/sharedStrings.xml><?xml version="1.0" encoding="utf-8"?>
<sst xmlns="http://schemas.openxmlformats.org/spreadsheetml/2006/main" count="145" uniqueCount="111">
  <si>
    <t>pixels</t>
  </si>
  <si>
    <t>microns</t>
  </si>
  <si>
    <t>lambda</t>
  </si>
  <si>
    <t>A</t>
  </si>
  <si>
    <t>n</t>
  </si>
  <si>
    <t>mm</t>
  </si>
  <si>
    <t>micron</t>
  </si>
  <si>
    <t>FSR = Lambda^2/(2 x n x e)</t>
  </si>
  <si>
    <t>radian</t>
  </si>
  <si>
    <t>pixel</t>
  </si>
  <si>
    <t>i+k</t>
  </si>
  <si>
    <t>i-k</t>
  </si>
  <si>
    <t>FWHMA</t>
  </si>
  <si>
    <t>FSRA</t>
  </si>
  <si>
    <t>FWHM = FSR/Finesse =</t>
  </si>
  <si>
    <t>e= n Lambda /FSRA</t>
  </si>
  <si>
    <t>delta des i^2</t>
  </si>
  <si>
    <t>radian^2</t>
  </si>
  <si>
    <t>6048x4024</t>
  </si>
  <si>
    <t>FWHM</t>
  </si>
  <si>
    <t>cos^2</t>
  </si>
  <si>
    <t>ISO</t>
  </si>
  <si>
    <t>Distance</t>
  </si>
  <si>
    <t>court</t>
  </si>
  <si>
    <t>delta Lambda (A)</t>
  </si>
  <si>
    <t>FSR (A)</t>
  </si>
  <si>
    <t>FWHM (A)</t>
  </si>
  <si>
    <t>Delta CWL (A)</t>
  </si>
  <si>
    <t>Image</t>
  </si>
  <si>
    <t>Date</t>
  </si>
  <si>
    <t>f-ratio</t>
  </si>
  <si>
    <t>Equivalent tilt(°)</t>
  </si>
  <si>
    <t>arsc/pixel</t>
  </si>
  <si>
    <t>micron/pixel</t>
  </si>
  <si>
    <t>Nikkor Z 85 mm f/1.8</t>
  </si>
  <si>
    <t>Nikon Z6</t>
  </si>
  <si>
    <t>Gap (mm)</t>
  </si>
  <si>
    <t>Image 1333</t>
  </si>
  <si>
    <t>slipt voigt</t>
  </si>
  <si>
    <t>split Lorentz</t>
  </si>
  <si>
    <t>Objective (focal length - mm)</t>
  </si>
  <si>
    <t>Aperture</t>
  </si>
  <si>
    <t>Nb fringes</t>
  </si>
  <si>
    <t>PST 1</t>
  </si>
  <si>
    <t>Pixel size</t>
  </si>
  <si>
    <t>focal length measured with Astrometry.net</t>
  </si>
  <si>
    <t>Objective (focale - mm)</t>
  </si>
  <si>
    <t>input data is red in yelow cells</t>
  </si>
  <si>
    <t>Camera position</t>
  </si>
  <si>
    <t>1-Measurement of delta CWL</t>
  </si>
  <si>
    <t>degrees</t>
  </si>
  <si>
    <t>peak position (left)</t>
  </si>
  <si>
    <t>peak position (right)</t>
  </si>
  <si>
    <t>Fit function</t>
  </si>
  <si>
    <t>Fringe number</t>
  </si>
  <si>
    <t>Central peak fringe</t>
  </si>
  <si>
    <t>FWHM L</t>
  </si>
  <si>
    <t>FWHM R</t>
  </si>
  <si>
    <t>calculated center</t>
  </si>
  <si>
    <t>radius</t>
  </si>
  <si>
    <t>FWHM avg</t>
  </si>
  <si>
    <t>delta  cos ^2</t>
  </si>
  <si>
    <t>FSRA average =</t>
  </si>
  <si>
    <t>FWHMA average =</t>
  </si>
  <si>
    <t>Summary table</t>
  </si>
  <si>
    <t>Average</t>
  </si>
  <si>
    <t>Nikon Z6 RAW 14 bits</t>
  </si>
  <si>
    <t>no stabilization</t>
  </si>
  <si>
    <t>Exposure</t>
  </si>
  <si>
    <t>Measurement of fringe diameters and FWHM with Fityk - Red channel - Horizontal diameter - 20 pixels vertical average on Y axis to increase S/N</t>
  </si>
  <si>
    <t>FWHM should be identical on each side of the central interference pattern. Otherwise, etalon not uniform or issues with the measurement protocole.</t>
  </si>
  <si>
    <t>center of etalon</t>
  </si>
  <si>
    <t>Test with Ha lamp</t>
  </si>
  <si>
    <t>use RAW file, 12 bits or more</t>
  </si>
  <si>
    <t>the closer the lens to the etalon, the larger the number of fringes visible</t>
  </si>
  <si>
    <t>camera lens</t>
  </si>
  <si>
    <t>camera settings</t>
  </si>
  <si>
    <t>lens between 50 to 80 mm should be OK with a 24x36 camera</t>
  </si>
  <si>
    <t>if the etalon is uniform, the fringe profile is a Lorentzian</t>
  </si>
  <si>
    <t>try Voight (=Lorenztian convoluated with Gaussian)</t>
  </si>
  <si>
    <t>try split Lorentzian</t>
  </si>
  <si>
    <t>try split Voigt</t>
  </si>
  <si>
    <t>use a tripod, and if possible an X Y slide to center the camera lens on the etalon</t>
  </si>
  <si>
    <t>camera lens not correctely centered on etalon optical axis (results in vigneting)</t>
  </si>
  <si>
    <t>extract red channel for measurement</t>
  </si>
  <si>
    <t>check focal length of the camera lens with Astrometry.net. Actual focal length could be different than focal length indicated by manufacturer</t>
  </si>
  <si>
    <t>the lens is focused to the infinity. It could be more accurate to set the focus manually on a distance landscape.</t>
  </si>
  <si>
    <t>measurement of the fringes FWHM and position with Fityk</t>
  </si>
  <si>
    <t>if the etalon is not uniform, the fringe profile could depart significantly from the Lorenztian function</t>
  </si>
  <si>
    <t>FWHM measured on one side of the fringe system could be different than on the opposte side. Different possible explanations:</t>
  </si>
  <si>
    <t>etalon not uniform</t>
  </si>
  <si>
    <t>calculation spreadsheet</t>
  </si>
  <si>
    <t>do not apply any correction at all (distorsion, etc.)</t>
  </si>
  <si>
    <t>the surface of the etalon sampled is defined by the aperture (f-ratio) of the lens - try different f-number</t>
  </si>
  <si>
    <t>the better the optical quality of the lens, the more accurate the measurement of the fringe width is</t>
  </si>
  <si>
    <t>camera lens of bad optical quality</t>
  </si>
  <si>
    <t>try different f-ratios</t>
  </si>
  <si>
    <t>if the etalon is not uniform, the calculated FWHM will change with f-ratio of the lens (improves when f-ratio increases)</t>
  </si>
  <si>
    <t>check whether the center of the fringe is the same from one fringe to the other (column H). If not, check for possible issues with the measurements</t>
  </si>
  <si>
    <t>usually, this is not the case</t>
  </si>
  <si>
    <t>column W is used for the calculation of the FWHM of the etalon. If the etalon is very uniform, column W value is the same from one fringe to the other</t>
  </si>
  <si>
    <t>column N value should be very consitent from one fringe to the other =&gt; this value is used for the calculation of the FSR, which is usually very accurate</t>
  </si>
  <si>
    <t>distance between lamp and diffuser = 20 cm</t>
  </si>
  <si>
    <t>Wratten 25 used to remove spurious spectral lines</t>
  </si>
  <si>
    <t>2-Measure FSR et FWHM</t>
  </si>
  <si>
    <t>Fringe profile fitted by Lorentz + constant (when etalon uniform), or Voigt + constant, or split Lorentz + constant, or split Voigt + constant (when etalon not uniform)</t>
  </si>
  <si>
    <t>X axis</t>
  </si>
  <si>
    <t>FWHMA = half height radius ^2 - half height radius ^2</t>
  </si>
  <si>
    <t>delta cos ^2</t>
  </si>
  <si>
    <t>Finesse = FSRA/FWHMA =</t>
  </si>
  <si>
    <t>scale =</t>
  </si>
</sst>
</file>

<file path=xl/styles.xml><?xml version="1.0" encoding="utf-8"?>
<styleSheet xmlns="http://schemas.openxmlformats.org/spreadsheetml/2006/main">
  <numFmts count="7">
    <numFmt numFmtId="164" formatCode="0.000"/>
    <numFmt numFmtId="165" formatCode="0.000E+00"/>
    <numFmt numFmtId="166" formatCode="0.0000"/>
    <numFmt numFmtId="167" formatCode="0.00.E+00"/>
    <numFmt numFmtId="168" formatCode="0.0"/>
    <numFmt numFmtId="169" formatCode="0.00000"/>
    <numFmt numFmtId="170" formatCode="0.000000"/>
  </numFmts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2" fontId="0" fillId="3" borderId="0" xfId="0" applyNumberFormat="1" applyFill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ill="1"/>
    <xf numFmtId="166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2" fontId="1" fillId="2" borderId="0" xfId="0" applyNumberFormat="1" applyFont="1" applyFill="1" applyAlignment="1">
      <alignment horizontal="center"/>
    </xf>
    <xf numFmtId="167" fontId="0" fillId="0" borderId="0" xfId="0" applyNumberFormat="1"/>
    <xf numFmtId="0" fontId="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169" fontId="0" fillId="0" borderId="0" xfId="0" applyNumberFormat="1"/>
    <xf numFmtId="168" fontId="0" fillId="0" borderId="0" xfId="0" applyNumberFormat="1" applyAlignment="1">
      <alignment horizontal="center"/>
    </xf>
    <xf numFmtId="164" fontId="0" fillId="3" borderId="0" xfId="0" applyNumberFormat="1" applyFill="1"/>
    <xf numFmtId="169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quotePrefix="1"/>
    <xf numFmtId="0" fontId="0" fillId="5" borderId="0" xfId="0" applyFill="1"/>
    <xf numFmtId="0" fontId="0" fillId="5" borderId="0" xfId="0" applyFill="1" applyAlignment="1">
      <alignment horizontal="center"/>
    </xf>
    <xf numFmtId="170" fontId="0" fillId="4" borderId="0" xfId="0" applyNumberForma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0" borderId="0" xfId="0" applyNumberFormat="1"/>
    <xf numFmtId="0" fontId="0" fillId="0" borderId="0" xfId="0" applyFill="1" applyAlignment="1">
      <alignment horizontal="center"/>
    </xf>
    <xf numFmtId="15" fontId="0" fillId="5" borderId="0" xfId="0" applyNumberFormat="1" applyFill="1"/>
    <xf numFmtId="0" fontId="0" fillId="0" borderId="2" xfId="0" applyBorder="1" applyAlignment="1">
      <alignment horizontal="center"/>
    </xf>
    <xf numFmtId="168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2" fontId="0" fillId="6" borderId="1" xfId="0" applyNumberFormat="1" applyFill="1" applyBorder="1" applyAlignment="1">
      <alignment horizontal="center"/>
    </xf>
    <xf numFmtId="15" fontId="0" fillId="0" borderId="0" xfId="0" applyNumberFormat="1" applyAlignment="1">
      <alignment horizontal="left"/>
    </xf>
    <xf numFmtId="0" fontId="0" fillId="4" borderId="0" xfId="0" applyFill="1"/>
    <xf numFmtId="15" fontId="0" fillId="4" borderId="0" xfId="0" applyNumberFormat="1" applyFill="1" applyAlignment="1">
      <alignment horizontal="left"/>
    </xf>
    <xf numFmtId="0" fontId="1" fillId="2" borderId="0" xfId="0" applyNumberFormat="1" applyFont="1" applyFill="1" applyAlignment="1">
      <alignment horizontal="center"/>
    </xf>
    <xf numFmtId="15" fontId="0" fillId="0" borderId="0" xfId="0" applyNumberFormat="1" applyFill="1"/>
    <xf numFmtId="9" fontId="0" fillId="0" borderId="0" xfId="1" applyFont="1"/>
    <xf numFmtId="14" fontId="0" fillId="0" borderId="2" xfId="0" applyNumberFormat="1" applyBorder="1" applyAlignment="1">
      <alignment horizontal="center"/>
    </xf>
    <xf numFmtId="0" fontId="1" fillId="2" borderId="0" xfId="0" applyFont="1" applyFill="1"/>
    <xf numFmtId="0" fontId="0" fillId="0" borderId="3" xfId="0" applyBorder="1" applyAlignment="1">
      <alignment horizontal="center"/>
    </xf>
    <xf numFmtId="0" fontId="0" fillId="6" borderId="2" xfId="0" applyFill="1" applyBorder="1" applyAlignment="1">
      <alignment horizontal="center"/>
    </xf>
    <xf numFmtId="168" fontId="0" fillId="0" borderId="0" xfId="0" applyNumberFormat="1" applyFill="1" applyAlignment="1">
      <alignment horizontal="center"/>
    </xf>
    <xf numFmtId="2" fontId="0" fillId="0" borderId="0" xfId="0" applyNumberFormat="1"/>
    <xf numFmtId="2" fontId="0" fillId="0" borderId="0" xfId="0" applyNumberFormat="1" applyFill="1" applyAlignment="1">
      <alignment horizontal="center"/>
    </xf>
    <xf numFmtId="2" fontId="0" fillId="0" borderId="0" xfId="0" applyNumberFormat="1" applyFill="1"/>
    <xf numFmtId="2" fontId="1" fillId="0" borderId="0" xfId="0" applyNumberFormat="1" applyFont="1" applyFill="1" applyAlignment="1">
      <alignment horizontal="center"/>
    </xf>
    <xf numFmtId="2" fontId="1" fillId="2" borderId="0" xfId="0" applyNumberFormat="1" applyFont="1" applyFill="1"/>
    <xf numFmtId="2" fontId="0" fillId="0" borderId="4" xfId="0" applyNumberFormat="1" applyBorder="1" applyAlignment="1">
      <alignment horizontal="center"/>
    </xf>
    <xf numFmtId="14" fontId="0" fillId="0" borderId="0" xfId="0" applyNumberFormat="1" applyFill="1"/>
    <xf numFmtId="2" fontId="0" fillId="0" borderId="3" xfId="0" applyNumberFormat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9" fontId="0" fillId="3" borderId="0" xfId="0" applyNumberFormat="1" applyFill="1"/>
    <xf numFmtId="0" fontId="1" fillId="0" borderId="0" xfId="0" applyFont="1" applyFill="1"/>
    <xf numFmtId="0" fontId="0" fillId="0" borderId="0" xfId="0" applyFill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/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4"/>
  <sheetViews>
    <sheetView workbookViewId="0">
      <selection activeCell="B33" sqref="B33"/>
    </sheetView>
  </sheetViews>
  <sheetFormatPr baseColWidth="10" defaultRowHeight="15"/>
  <sheetData>
    <row r="1" spans="1:2">
      <c r="A1" s="61" t="s">
        <v>72</v>
      </c>
    </row>
    <row r="3" spans="1:2">
      <c r="A3" t="s">
        <v>76</v>
      </c>
    </row>
    <row r="4" spans="1:2">
      <c r="B4" t="s">
        <v>73</v>
      </c>
    </row>
    <row r="5" spans="1:2">
      <c r="B5" t="s">
        <v>92</v>
      </c>
    </row>
    <row r="6" spans="1:2">
      <c r="B6" t="s">
        <v>82</v>
      </c>
    </row>
    <row r="7" spans="1:2">
      <c r="B7" t="s">
        <v>84</v>
      </c>
    </row>
    <row r="9" spans="1:2">
      <c r="A9" t="s">
        <v>75</v>
      </c>
    </row>
    <row r="10" spans="1:2">
      <c r="B10" t="s">
        <v>85</v>
      </c>
    </row>
    <row r="11" spans="1:2">
      <c r="B11" t="s">
        <v>77</v>
      </c>
    </row>
    <row r="12" spans="1:2">
      <c r="B12" t="s">
        <v>74</v>
      </c>
    </row>
    <row r="13" spans="1:2">
      <c r="B13" t="s">
        <v>93</v>
      </c>
    </row>
    <row r="14" spans="1:2">
      <c r="B14" t="s">
        <v>94</v>
      </c>
    </row>
    <row r="15" spans="1:2">
      <c r="B15" t="s">
        <v>86</v>
      </c>
    </row>
    <row r="17" spans="1:3">
      <c r="A17" t="s">
        <v>87</v>
      </c>
    </row>
    <row r="18" spans="1:3">
      <c r="B18" t="s">
        <v>78</v>
      </c>
    </row>
    <row r="19" spans="1:3">
      <c r="B19" t="s">
        <v>88</v>
      </c>
    </row>
    <row r="20" spans="1:3">
      <c r="C20" t="s">
        <v>79</v>
      </c>
    </row>
    <row r="21" spans="1:3">
      <c r="C21" t="s">
        <v>80</v>
      </c>
    </row>
    <row r="22" spans="1:3">
      <c r="C22" t="s">
        <v>81</v>
      </c>
    </row>
    <row r="23" spans="1:3">
      <c r="B23" t="s">
        <v>89</v>
      </c>
    </row>
    <row r="24" spans="1:3">
      <c r="C24" t="s">
        <v>83</v>
      </c>
    </row>
    <row r="25" spans="1:3">
      <c r="C25" t="s">
        <v>95</v>
      </c>
    </row>
    <row r="26" spans="1:3">
      <c r="C26" t="s">
        <v>90</v>
      </c>
    </row>
    <row r="27" spans="1:3">
      <c r="B27" t="s">
        <v>96</v>
      </c>
    </row>
    <row r="28" spans="1:3">
      <c r="C28" t="s">
        <v>97</v>
      </c>
    </row>
    <row r="30" spans="1:3">
      <c r="A30" t="s">
        <v>91</v>
      </c>
    </row>
    <row r="31" spans="1:3">
      <c r="B31" t="s">
        <v>98</v>
      </c>
    </row>
    <row r="32" spans="1:3">
      <c r="B32" t="s">
        <v>101</v>
      </c>
    </row>
    <row r="33" spans="2:3">
      <c r="B33" t="s">
        <v>100</v>
      </c>
    </row>
    <row r="34" spans="2:3">
      <c r="C34" t="s">
        <v>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59"/>
  <sheetViews>
    <sheetView tabSelected="1" zoomScale="90" zoomScaleNormal="90" workbookViewId="0">
      <selection activeCell="D12" sqref="D12"/>
    </sheetView>
  </sheetViews>
  <sheetFormatPr baseColWidth="10" defaultRowHeight="15"/>
  <cols>
    <col min="2" max="2" width="11.5703125" bestFit="1" customWidth="1"/>
    <col min="3" max="3" width="25.7109375" customWidth="1"/>
    <col min="4" max="4" width="19" customWidth="1"/>
    <col min="6" max="6" width="22.140625" customWidth="1"/>
    <col min="7" max="7" width="16.7109375" customWidth="1"/>
    <col min="8" max="8" width="19.140625" customWidth="1"/>
    <col min="9" max="9" width="11.42578125" customWidth="1"/>
    <col min="10" max="10" width="11" customWidth="1"/>
    <col min="11" max="11" width="13.140625" customWidth="1"/>
    <col min="12" max="12" width="13.28515625" customWidth="1"/>
    <col min="13" max="13" width="15.42578125" customWidth="1"/>
    <col min="14" max="14" width="15.5703125" customWidth="1"/>
    <col min="17" max="17" width="11.5703125" bestFit="1" customWidth="1"/>
    <col min="21" max="21" width="9.85546875" customWidth="1"/>
    <col min="23" max="23" width="15" customWidth="1"/>
  </cols>
  <sheetData>
    <row r="1" spans="1:21">
      <c r="C1" s="37" t="s">
        <v>43</v>
      </c>
      <c r="D1" s="37"/>
      <c r="O1" s="8"/>
      <c r="P1" s="8"/>
    </row>
    <row r="2" spans="1:21">
      <c r="C2" s="38">
        <v>44388</v>
      </c>
      <c r="D2" s="37"/>
      <c r="G2" s="43" t="s">
        <v>47</v>
      </c>
      <c r="H2" s="43"/>
      <c r="I2" s="58"/>
      <c r="J2" s="58"/>
      <c r="K2" s="8"/>
      <c r="L2" s="8"/>
      <c r="M2" s="8"/>
      <c r="O2" s="8"/>
      <c r="P2" s="8"/>
    </row>
    <row r="3" spans="1:21">
      <c r="C3" s="36"/>
      <c r="G3" s="8"/>
      <c r="H3" s="8"/>
      <c r="I3" s="8"/>
      <c r="J3" s="8"/>
      <c r="K3" s="8"/>
      <c r="L3" s="8"/>
      <c r="M3" s="8"/>
      <c r="O3" s="8"/>
      <c r="P3" s="8"/>
    </row>
    <row r="4" spans="1:21">
      <c r="C4" t="s">
        <v>102</v>
      </c>
      <c r="G4" s="8"/>
      <c r="H4" s="8"/>
      <c r="I4" s="8"/>
      <c r="J4" s="8"/>
      <c r="K4" s="8"/>
      <c r="L4" s="8"/>
      <c r="M4" s="8"/>
      <c r="O4" s="8"/>
      <c r="P4" s="8"/>
    </row>
    <row r="5" spans="1:21">
      <c r="C5" t="s">
        <v>103</v>
      </c>
      <c r="G5" s="8"/>
      <c r="H5" s="8"/>
      <c r="I5" s="8"/>
      <c r="J5" s="8"/>
      <c r="K5" s="8"/>
      <c r="L5" s="8"/>
      <c r="M5" s="8"/>
      <c r="O5" s="8"/>
      <c r="P5" s="8"/>
    </row>
    <row r="6" spans="1:21">
      <c r="I6" s="27"/>
      <c r="O6" s="8"/>
      <c r="P6" s="8"/>
    </row>
    <row r="7" spans="1:21">
      <c r="C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1">
      <c r="C8" t="s">
        <v>66</v>
      </c>
      <c r="D8" t="s">
        <v>18</v>
      </c>
      <c r="E8" t="s">
        <v>67</v>
      </c>
      <c r="L8" s="8"/>
      <c r="M8" s="8"/>
      <c r="N8" s="8"/>
      <c r="O8" s="8"/>
      <c r="P8" s="8"/>
      <c r="Q8" s="8"/>
      <c r="R8" s="8"/>
      <c r="S8" s="8"/>
      <c r="T8" s="8"/>
      <c r="U8" s="8"/>
    </row>
    <row r="9" spans="1:21">
      <c r="C9" t="s">
        <v>44</v>
      </c>
      <c r="D9" s="4">
        <v>5.92</v>
      </c>
      <c r="E9" t="s">
        <v>1</v>
      </c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>
      <c r="C10" t="s">
        <v>2</v>
      </c>
      <c r="D10" s="4">
        <v>6562.8</v>
      </c>
      <c r="E10" t="s">
        <v>3</v>
      </c>
    </row>
    <row r="11" spans="1:21">
      <c r="C11" t="s">
        <v>4</v>
      </c>
      <c r="D11" s="11">
        <v>1</v>
      </c>
    </row>
    <row r="12" spans="1:21">
      <c r="C12" t="s">
        <v>34</v>
      </c>
      <c r="D12" s="50">
        <f>L12</f>
        <v>82.898007670251886</v>
      </c>
      <c r="E12" t="s">
        <v>5</v>
      </c>
      <c r="F12" s="2" t="s">
        <v>110</v>
      </c>
      <c r="G12" s="51">
        <v>14.73</v>
      </c>
      <c r="H12" t="s">
        <v>32</v>
      </c>
      <c r="I12" s="43">
        <v>5.92</v>
      </c>
      <c r="J12" t="s">
        <v>33</v>
      </c>
      <c r="K12" t="s">
        <v>35</v>
      </c>
      <c r="L12" s="5">
        <f>I12/(G12*PI()/(3.6*180))</f>
        <v>82.898007670251886</v>
      </c>
      <c r="M12" t="s">
        <v>45</v>
      </c>
    </row>
    <row r="13" spans="1:21">
      <c r="D13" s="13"/>
    </row>
    <row r="14" spans="1:21">
      <c r="D14" s="13"/>
    </row>
    <row r="15" spans="1:21">
      <c r="A15" s="33" t="s">
        <v>28</v>
      </c>
      <c r="B15" s="33" t="s">
        <v>29</v>
      </c>
      <c r="C15" s="33" t="s">
        <v>46</v>
      </c>
      <c r="D15" s="33" t="s">
        <v>30</v>
      </c>
      <c r="E15" s="33" t="s">
        <v>21</v>
      </c>
      <c r="F15" s="33" t="s">
        <v>41</v>
      </c>
      <c r="G15" s="33" t="s">
        <v>48</v>
      </c>
      <c r="H15" s="33" t="s">
        <v>68</v>
      </c>
    </row>
    <row r="16" spans="1:21">
      <c r="A16" t="s">
        <v>37</v>
      </c>
      <c r="B16" s="53">
        <v>44388</v>
      </c>
      <c r="C16" s="14">
        <f>D12</f>
        <v>82.898007670251886</v>
      </c>
      <c r="D16" s="4">
        <v>2</v>
      </c>
      <c r="E16" s="4">
        <v>100</v>
      </c>
      <c r="F16" s="46">
        <f>C16/D16</f>
        <v>41.449003835125943</v>
      </c>
      <c r="G16" s="4" t="s">
        <v>71</v>
      </c>
      <c r="H16" s="4">
        <v>0.77</v>
      </c>
    </row>
    <row r="17" spans="1:23">
      <c r="C17" s="22" t="s">
        <v>69</v>
      </c>
      <c r="D17" s="22"/>
      <c r="E17" s="22"/>
      <c r="F17" s="22"/>
      <c r="G17" s="22"/>
      <c r="H17" s="29"/>
      <c r="I17" s="22"/>
      <c r="J17" s="22"/>
      <c r="K17" s="22"/>
      <c r="L17" s="23"/>
      <c r="M17" s="23"/>
      <c r="N17" s="23"/>
    </row>
    <row r="18" spans="1:23">
      <c r="C18" s="22" t="s">
        <v>105</v>
      </c>
      <c r="D18" s="22"/>
      <c r="E18" s="22"/>
      <c r="F18" s="22"/>
      <c r="G18" s="22"/>
      <c r="H18" s="29"/>
      <c r="I18" s="22"/>
      <c r="J18" s="22"/>
      <c r="K18" s="22"/>
      <c r="L18" s="23"/>
      <c r="M18" s="23"/>
      <c r="N18" s="23"/>
    </row>
    <row r="19" spans="1:23">
      <c r="C19" s="22" t="s">
        <v>70</v>
      </c>
      <c r="D19" s="22"/>
      <c r="E19" s="22"/>
      <c r="F19" s="22"/>
      <c r="G19" s="22"/>
      <c r="H19" s="29"/>
      <c r="I19" s="22"/>
      <c r="J19" s="22"/>
      <c r="K19" s="22"/>
      <c r="L19" s="23"/>
      <c r="M19" s="23"/>
      <c r="N19" s="23"/>
    </row>
    <row r="20" spans="1:23" s="8" customFormat="1">
      <c r="H20" s="40"/>
      <c r="L20" s="28"/>
      <c r="M20" s="28"/>
      <c r="N20" s="28"/>
    </row>
    <row r="21" spans="1:23">
      <c r="C21" s="22" t="s">
        <v>49</v>
      </c>
      <c r="D21" s="22"/>
      <c r="E21" s="22"/>
      <c r="F21" s="22"/>
      <c r="G21" s="22"/>
      <c r="H21" s="29"/>
      <c r="I21" s="22"/>
      <c r="J21" s="22"/>
      <c r="K21" s="22"/>
      <c r="L21" s="23"/>
      <c r="M21" s="23"/>
      <c r="N21" s="23"/>
    </row>
    <row r="22" spans="1:23" s="8" customFormat="1">
      <c r="D22" s="28" t="s">
        <v>52</v>
      </c>
      <c r="F22" s="28" t="s">
        <v>51</v>
      </c>
      <c r="H22" s="40"/>
      <c r="L22" s="28"/>
      <c r="M22" s="28"/>
      <c r="N22" s="28"/>
    </row>
    <row r="23" spans="1:23">
      <c r="B23" s="62" t="s">
        <v>53</v>
      </c>
      <c r="C23" s="8"/>
      <c r="D23" s="2" t="s">
        <v>0</v>
      </c>
      <c r="E23" s="2"/>
      <c r="F23" s="2" t="s">
        <v>0</v>
      </c>
      <c r="G23" s="2" t="s">
        <v>0</v>
      </c>
      <c r="H23" s="2" t="s">
        <v>9</v>
      </c>
      <c r="I23" s="2" t="s">
        <v>0</v>
      </c>
      <c r="J23" s="2" t="s">
        <v>6</v>
      </c>
      <c r="K23" s="2" t="s">
        <v>8</v>
      </c>
      <c r="L23" s="28" t="s">
        <v>50</v>
      </c>
      <c r="M23" s="28" t="s">
        <v>24</v>
      </c>
      <c r="N23" s="28"/>
      <c r="O23" s="8"/>
      <c r="P23" s="8"/>
      <c r="Q23" s="8"/>
      <c r="R23" s="8"/>
      <c r="S23" s="8"/>
      <c r="T23" s="8"/>
      <c r="U23" s="8"/>
      <c r="V23" s="8"/>
      <c r="W23" s="8"/>
    </row>
    <row r="24" spans="1:23">
      <c r="B24" t="s">
        <v>38</v>
      </c>
      <c r="C24" s="59" t="s">
        <v>55</v>
      </c>
      <c r="D24" s="4">
        <v>2855.8</v>
      </c>
      <c r="E24" s="2"/>
      <c r="F24" s="4">
        <v>3215.2</v>
      </c>
      <c r="G24" s="2"/>
      <c r="H24" s="3">
        <f>0.5*SUM(D24,F24)</f>
        <v>3035.5</v>
      </c>
      <c r="I24" s="3">
        <f>(F24-D24)/2</f>
        <v>179.69999999999982</v>
      </c>
      <c r="J24" s="3">
        <f>I24*$D$9</f>
        <v>1063.8239999999989</v>
      </c>
      <c r="K24" s="9">
        <f>J24/(C16*1000)</f>
        <v>1.2832926024369995E-2</v>
      </c>
      <c r="L24" s="18">
        <f>180*K24/PI()</f>
        <v>0.73527249999999944</v>
      </c>
      <c r="M24" s="14">
        <f>L24^2/D11^2</f>
        <v>0.54062564925624923</v>
      </c>
      <c r="N24" s="2"/>
      <c r="P24" s="2"/>
      <c r="Q24" s="2"/>
      <c r="R24" s="2"/>
      <c r="S24" s="2"/>
      <c r="T24" s="2"/>
      <c r="U24" s="2"/>
      <c r="V24" s="2"/>
    </row>
    <row r="25" spans="1:23" s="8" customFormat="1">
      <c r="H25" s="40"/>
      <c r="L25" s="28"/>
      <c r="M25" s="28"/>
      <c r="N25" s="28"/>
    </row>
    <row r="26" spans="1:23" s="8" customFormat="1">
      <c r="H26" s="40"/>
      <c r="L26" s="23" t="s">
        <v>16</v>
      </c>
      <c r="M26" s="28"/>
      <c r="N26" s="28"/>
      <c r="P26" s="22" t="s">
        <v>107</v>
      </c>
      <c r="Q26" s="22"/>
      <c r="R26" s="22"/>
      <c r="S26" s="22"/>
      <c r="T26" s="22"/>
      <c r="U26" s="22"/>
      <c r="V26" s="22"/>
      <c r="W26" s="22"/>
    </row>
    <row r="27" spans="1:23">
      <c r="C27" t="s">
        <v>104</v>
      </c>
      <c r="D27" s="28" t="s">
        <v>52</v>
      </c>
      <c r="E27" s="2" t="s">
        <v>56</v>
      </c>
      <c r="F27" s="28" t="s">
        <v>51</v>
      </c>
      <c r="G27" s="2" t="s">
        <v>57</v>
      </c>
      <c r="H27" s="2" t="s">
        <v>58</v>
      </c>
      <c r="I27" s="2" t="s">
        <v>59</v>
      </c>
      <c r="J27" s="2" t="s">
        <v>59</v>
      </c>
      <c r="K27" s="2" t="s">
        <v>59</v>
      </c>
      <c r="L27" s="2" t="s">
        <v>13</v>
      </c>
      <c r="M27" s="2"/>
      <c r="N27" s="2"/>
      <c r="P27" s="2" t="s">
        <v>60</v>
      </c>
      <c r="Q27" s="2" t="s">
        <v>19</v>
      </c>
      <c r="R27" s="2" t="s">
        <v>10</v>
      </c>
      <c r="S27" s="2" t="s">
        <v>11</v>
      </c>
      <c r="T27" s="2" t="s">
        <v>12</v>
      </c>
      <c r="U27" s="2" t="s">
        <v>10</v>
      </c>
      <c r="V27" s="2" t="s">
        <v>11</v>
      </c>
      <c r="W27" s="2" t="s">
        <v>61</v>
      </c>
    </row>
    <row r="28" spans="1:23">
      <c r="B28" s="62" t="s">
        <v>53</v>
      </c>
      <c r="C28" s="22" t="s">
        <v>54</v>
      </c>
      <c r="D28" s="2" t="s">
        <v>0</v>
      </c>
      <c r="E28" s="2" t="s">
        <v>0</v>
      </c>
      <c r="F28" s="2" t="s">
        <v>0</v>
      </c>
      <c r="G28" s="2" t="s">
        <v>0</v>
      </c>
      <c r="H28" s="2" t="s">
        <v>9</v>
      </c>
      <c r="I28" s="2" t="s">
        <v>0</v>
      </c>
      <c r="J28" s="2" t="s">
        <v>6</v>
      </c>
      <c r="K28" s="2" t="s">
        <v>8</v>
      </c>
      <c r="L28" s="2" t="s">
        <v>17</v>
      </c>
      <c r="M28" s="2" t="s">
        <v>20</v>
      </c>
      <c r="N28" s="2" t="s">
        <v>108</v>
      </c>
      <c r="P28" s="2" t="s">
        <v>0</v>
      </c>
      <c r="Q28" s="2" t="s">
        <v>8</v>
      </c>
      <c r="R28" s="2" t="s">
        <v>8</v>
      </c>
      <c r="S28" s="2" t="s">
        <v>8</v>
      </c>
      <c r="T28" s="2" t="s">
        <v>17</v>
      </c>
      <c r="U28" s="2" t="s">
        <v>20</v>
      </c>
      <c r="V28" s="2" t="s">
        <v>8</v>
      </c>
    </row>
    <row r="29" spans="1:23">
      <c r="A29" t="s">
        <v>106</v>
      </c>
      <c r="B29" t="s">
        <v>39</v>
      </c>
      <c r="C29" s="22">
        <v>1</v>
      </c>
      <c r="D29" s="39">
        <v>2268.9</v>
      </c>
      <c r="E29" s="4">
        <v>24.4</v>
      </c>
      <c r="F29" s="39">
        <v>3802.77</v>
      </c>
      <c r="G29" s="4">
        <v>25.8</v>
      </c>
      <c r="H29" s="3">
        <f>0.5*SUM(D29,F29)</f>
        <v>3035.835</v>
      </c>
      <c r="I29" s="3">
        <f>(F29-D29)/2</f>
        <v>766.93499999999995</v>
      </c>
      <c r="J29" s="3">
        <f>I29*$D$9</f>
        <v>4540.2551999999996</v>
      </c>
      <c r="K29" s="9">
        <f>J29/($C$16*1000)</f>
        <v>5.4769171510852595E-2</v>
      </c>
      <c r="L29" s="7"/>
      <c r="M29" s="18">
        <f>1/(1+K29^2)</f>
        <v>0.99700930891485928</v>
      </c>
      <c r="N29" s="18"/>
      <c r="P29" s="16">
        <f>AVERAGE(E29,G29)</f>
        <v>25.1</v>
      </c>
      <c r="Q29" s="9">
        <f>P29*$D$9/($C$16*1000)</f>
        <v>1.7924676862086102E-3</v>
      </c>
      <c r="R29" s="6">
        <f>K29+0.5*Q29</f>
        <v>5.56654053539569E-2</v>
      </c>
      <c r="S29" s="6">
        <f>K29-0.5*Q29</f>
        <v>5.387293766774829E-2</v>
      </c>
      <c r="T29" s="10">
        <f>R29^2-S29^2</f>
        <v>1.963439402672411E-4</v>
      </c>
      <c r="U29" s="18">
        <f>1/(1+R29^2)</f>
        <v>0.99691093454039936</v>
      </c>
      <c r="V29" s="18">
        <f>1/(1+S29^2)</f>
        <v>0.9971061055179401</v>
      </c>
      <c r="W29" s="24">
        <f>V29-U29</f>
        <v>1.9517097754073731E-4</v>
      </c>
    </row>
    <row r="30" spans="1:23">
      <c r="C30" s="22">
        <v>2</v>
      </c>
      <c r="D30" s="4">
        <v>1963.8</v>
      </c>
      <c r="E30" s="4">
        <v>17.2</v>
      </c>
      <c r="F30" s="4">
        <v>4107.5</v>
      </c>
      <c r="G30" s="4">
        <v>17.899999999999999</v>
      </c>
      <c r="H30" s="3">
        <f>0.5*SUM(D30,F30)</f>
        <v>3035.65</v>
      </c>
      <c r="I30" s="3">
        <f>(F30-D30)/2</f>
        <v>1071.8499999999999</v>
      </c>
      <c r="J30" s="3">
        <f>I30*$D$9</f>
        <v>6345.351999999999</v>
      </c>
      <c r="K30" s="9">
        <f>J30/($C$16*1000)</f>
        <v>7.6544083245525835E-2</v>
      </c>
      <c r="L30" s="7">
        <f>K30^2-K29^2</f>
        <v>2.859334531912801E-3</v>
      </c>
      <c r="M30" s="18">
        <f t="shared" ref="M30:M33" si="0">1/(1+K30^2)</f>
        <v>0.99417513120702083</v>
      </c>
      <c r="N30" s="18">
        <f>M29-M30</f>
        <v>2.8341777078384478E-3</v>
      </c>
      <c r="P30" s="16">
        <f>AVERAGE(E30,G30)</f>
        <v>17.549999999999997</v>
      </c>
      <c r="Q30" s="9">
        <f>P30*$D$9/($C$16*1000)</f>
        <v>1.2532991192414781E-3</v>
      </c>
      <c r="R30" s="6">
        <f>K30+0.5*Q30</f>
        <v>7.717073280514658E-2</v>
      </c>
      <c r="S30" s="6">
        <f>K30-0.5*Q30</f>
        <v>7.5917433685905089E-2</v>
      </c>
      <c r="T30" s="10">
        <f t="shared" ref="T30:T33" si="1">R30^2-S30^2</f>
        <v>1.9186526422953001E-4</v>
      </c>
      <c r="U30" s="18">
        <f t="shared" ref="U30:U33" si="2">1/(1+R30^2)</f>
        <v>0.99407993389822402</v>
      </c>
      <c r="V30" s="18">
        <f t="shared" ref="V30:V33" si="3">1/(1+S30^2)</f>
        <v>0.99426957034594432</v>
      </c>
      <c r="W30" s="24">
        <f t="shared" ref="W30:W33" si="4">V30-U30</f>
        <v>1.8963644772029831E-4</v>
      </c>
    </row>
    <row r="31" spans="1:23">
      <c r="C31" s="22">
        <v>3</v>
      </c>
      <c r="D31" s="4">
        <v>1727.1</v>
      </c>
      <c r="E31" s="4">
        <v>14.1</v>
      </c>
      <c r="F31" s="25">
        <v>4344.26</v>
      </c>
      <c r="G31" s="4">
        <v>14</v>
      </c>
      <c r="H31" s="3">
        <f>0.5*SUM(D31,F31)</f>
        <v>3035.6800000000003</v>
      </c>
      <c r="I31" s="3">
        <f>(F31-D31)/2</f>
        <v>1308.5800000000002</v>
      </c>
      <c r="J31" s="3">
        <f>I31*$D$9</f>
        <v>7746.7936000000009</v>
      </c>
      <c r="K31" s="9">
        <f>J31/($C$16*1000)</f>
        <v>9.3449695809516453E-2</v>
      </c>
      <c r="L31" s="7">
        <f t="shared" ref="L31:L33" si="5">K31^2-K30^2</f>
        <v>2.8738489669931679E-3</v>
      </c>
      <c r="M31" s="18">
        <f t="shared" si="0"/>
        <v>0.99134275672237993</v>
      </c>
      <c r="N31" s="18">
        <f t="shared" ref="N31:N33" si="6">M30-M31</f>
        <v>2.8323744846409094E-3</v>
      </c>
      <c r="P31" s="16">
        <f>AVERAGE(E31,G31)</f>
        <v>14.05</v>
      </c>
      <c r="Q31" s="9">
        <f>P31*$D$9/($C$16*1000)</f>
        <v>1.0033534259454571E-3</v>
      </c>
      <c r="R31" s="6">
        <f>K31+0.5*Q31</f>
        <v>9.3951372522489182E-2</v>
      </c>
      <c r="S31" s="6">
        <f>K31-0.5*Q31</f>
        <v>9.2948019096543724E-2</v>
      </c>
      <c r="T31" s="10">
        <f t="shared" si="1"/>
        <v>1.8752614488807759E-4</v>
      </c>
      <c r="U31" s="18">
        <f t="shared" si="2"/>
        <v>0.99125037135176042</v>
      </c>
      <c r="V31" s="18">
        <f t="shared" si="3"/>
        <v>0.99143466454204721</v>
      </c>
      <c r="W31" s="24">
        <f t="shared" si="4"/>
        <v>1.8429319028678837E-4</v>
      </c>
    </row>
    <row r="32" spans="1:23">
      <c r="C32" s="22">
        <v>4</v>
      </c>
      <c r="D32" s="4">
        <v>1526.1</v>
      </c>
      <c r="E32" s="4">
        <v>12.3</v>
      </c>
      <c r="F32" s="4">
        <v>4544.8</v>
      </c>
      <c r="G32" s="4">
        <v>12.3</v>
      </c>
      <c r="H32" s="3">
        <f>0.5*SUM(D32,F32)</f>
        <v>3035.45</v>
      </c>
      <c r="I32" s="3">
        <f>(F32-D32)/2</f>
        <v>1509.3500000000001</v>
      </c>
      <c r="J32" s="3">
        <f>I32*$D$9</f>
        <v>8935.3520000000008</v>
      </c>
      <c r="K32" s="9">
        <f>J32/($C$16*1000)</f>
        <v>0.10778729490752852</v>
      </c>
      <c r="L32" s="7">
        <f t="shared" si="5"/>
        <v>2.8852552965913658E-3</v>
      </c>
      <c r="M32" s="18">
        <f t="shared" si="0"/>
        <v>0.98851532912207973</v>
      </c>
      <c r="N32" s="18">
        <f t="shared" si="6"/>
        <v>2.8274276003001919E-3</v>
      </c>
      <c r="P32" s="16">
        <f>AVERAGE(E32,G32)</f>
        <v>12.3</v>
      </c>
      <c r="Q32" s="9">
        <f>P32*$D$9/($C$16*1000)</f>
        <v>8.7838057929744639E-4</v>
      </c>
      <c r="R32" s="6">
        <f>K32+0.5*Q32</f>
        <v>0.10822648519717724</v>
      </c>
      <c r="S32" s="6">
        <f>K32-0.5*Q32</f>
        <v>0.10734810461787979</v>
      </c>
      <c r="T32" s="10">
        <f t="shared" si="1"/>
        <v>1.8935653308356157E-4</v>
      </c>
      <c r="U32" s="18">
        <f t="shared" si="2"/>
        <v>0.98842263327528168</v>
      </c>
      <c r="V32" s="18">
        <f t="shared" si="3"/>
        <v>0.98860766532018729</v>
      </c>
      <c r="W32" s="24">
        <f t="shared" si="4"/>
        <v>1.8503204490560865E-4</v>
      </c>
    </row>
    <row r="33" spans="1:25">
      <c r="C33" s="22">
        <v>5</v>
      </c>
      <c r="D33" s="4">
        <v>1348.1</v>
      </c>
      <c r="E33" s="4">
        <v>10.7</v>
      </c>
      <c r="F33" s="4">
        <v>4722.8999999999996</v>
      </c>
      <c r="G33" s="4">
        <v>11</v>
      </c>
      <c r="H33" s="3">
        <f>0.5*SUM(D33,F33)</f>
        <v>3035.5</v>
      </c>
      <c r="I33" s="3">
        <f>(F33-D33)/2</f>
        <v>1687.3999999999999</v>
      </c>
      <c r="J33" s="3">
        <f>I33*$D$9</f>
        <v>9989.4079999999994</v>
      </c>
      <c r="K33" s="9">
        <f>J33/($C$16*1000)</f>
        <v>0.12050238939077323</v>
      </c>
      <c r="L33" s="7">
        <f t="shared" si="5"/>
        <v>2.9027249054030153E-3</v>
      </c>
      <c r="M33" s="18">
        <f t="shared" si="0"/>
        <v>0.98568701057788977</v>
      </c>
      <c r="N33" s="18">
        <f t="shared" si="6"/>
        <v>2.8283185441899672E-3</v>
      </c>
      <c r="P33" s="16">
        <f>AVERAGE(E33,G33)</f>
        <v>10.85</v>
      </c>
      <c r="Q33" s="9">
        <f>P33*$D$9/($C$16*1000)</f>
        <v>7.7483164921766609E-4</v>
      </c>
      <c r="R33" s="6">
        <f>K33+0.5*Q33</f>
        <v>0.12088980521538206</v>
      </c>
      <c r="S33" s="6">
        <f>K33-0.5*Q33</f>
        <v>0.12011497356616441</v>
      </c>
      <c r="T33" s="10">
        <f t="shared" si="1"/>
        <v>1.8673813021264328E-4</v>
      </c>
      <c r="U33" s="18">
        <f t="shared" si="2"/>
        <v>0.98559615771553011</v>
      </c>
      <c r="V33" s="18">
        <f t="shared" si="3"/>
        <v>0.98577758848731623</v>
      </c>
      <c r="W33" s="24">
        <f t="shared" si="4"/>
        <v>1.8143077178611744E-4</v>
      </c>
    </row>
    <row r="34" spans="1:25">
      <c r="D34" s="13"/>
      <c r="E34" s="13"/>
      <c r="F34" s="13"/>
      <c r="G34" s="13"/>
      <c r="H34" s="3"/>
      <c r="I34" s="3"/>
      <c r="J34" s="3"/>
      <c r="K34" s="9"/>
      <c r="L34" s="7"/>
      <c r="M34" s="7"/>
      <c r="N34" s="7"/>
      <c r="P34" s="2"/>
      <c r="Q34" s="2"/>
      <c r="R34" s="6"/>
      <c r="S34" s="6"/>
      <c r="T34" s="10"/>
      <c r="U34" s="15"/>
    </row>
    <row r="35" spans="1:25">
      <c r="C35" t="s">
        <v>62</v>
      </c>
      <c r="L35" s="7">
        <f>AVERAGE(L30:L33)</f>
        <v>2.8802909252250873E-3</v>
      </c>
      <c r="M35" s="7"/>
      <c r="N35" s="7">
        <f>AVERAGE(N30:N33)</f>
        <v>2.8305745842423791E-3</v>
      </c>
      <c r="O35" s="2"/>
      <c r="P35" t="s">
        <v>63</v>
      </c>
      <c r="R35" s="1"/>
      <c r="S35" s="2"/>
      <c r="T35" s="10">
        <f>AVERAGE(T29:T33)</f>
        <v>1.9036600253621072E-4</v>
      </c>
      <c r="U35" s="10"/>
      <c r="W35" s="19">
        <f>AVERAGE(W29:W33)</f>
        <v>1.8711268644791001E-4</v>
      </c>
    </row>
    <row r="36" spans="1:25">
      <c r="T36" s="2"/>
    </row>
    <row r="37" spans="1:25">
      <c r="P37" t="s">
        <v>109</v>
      </c>
      <c r="T37" s="14">
        <f>L35/T35</f>
        <v>15.130280022963706</v>
      </c>
      <c r="W37" s="20">
        <f>N35/W35</f>
        <v>15.127646542717873</v>
      </c>
    </row>
    <row r="38" spans="1:25">
      <c r="C38" t="s">
        <v>15</v>
      </c>
      <c r="D38" s="12">
        <f>$D$11*$D$10/N35</f>
        <v>2318539.8599050073</v>
      </c>
      <c r="E38" t="s">
        <v>3</v>
      </c>
      <c r="T38" s="2"/>
    </row>
    <row r="39" spans="1:25">
      <c r="D39" s="57">
        <f>D38/10^7</f>
        <v>0.23185398599050072</v>
      </c>
      <c r="E39" t="s">
        <v>5</v>
      </c>
      <c r="T39" s="2"/>
    </row>
    <row r="40" spans="1:25">
      <c r="T40" s="2"/>
    </row>
    <row r="41" spans="1:25">
      <c r="C41" t="s">
        <v>7</v>
      </c>
      <c r="D41" s="17">
        <f>$D$10^2/(2*$D$11*D38)</f>
        <v>9.2882474407329436</v>
      </c>
      <c r="E41" t="s">
        <v>3</v>
      </c>
      <c r="G41" s="21"/>
      <c r="P41" t="s">
        <v>14</v>
      </c>
      <c r="T41" s="14">
        <f>D41/T37</f>
        <v>0.61388470184529798</v>
      </c>
      <c r="W41" s="26">
        <f>D41/W37</f>
        <v>0.61399156931017196</v>
      </c>
    </row>
    <row r="43" spans="1:25">
      <c r="D43" s="49"/>
      <c r="G43" s="21"/>
      <c r="T43" s="48"/>
      <c r="U43" s="8"/>
      <c r="V43" s="8"/>
      <c r="W43" s="48"/>
    </row>
    <row r="44" spans="1:25">
      <c r="A44" s="60" t="s">
        <v>64</v>
      </c>
    </row>
    <row r="46" spans="1:25">
      <c r="A46" s="33" t="s">
        <v>28</v>
      </c>
      <c r="B46" s="45" t="s">
        <v>29</v>
      </c>
      <c r="C46" s="33" t="s">
        <v>40</v>
      </c>
      <c r="D46" s="33" t="s">
        <v>30</v>
      </c>
      <c r="E46" s="33" t="s">
        <v>21</v>
      </c>
      <c r="F46" s="33" t="s">
        <v>41</v>
      </c>
      <c r="G46" s="33" t="s">
        <v>48</v>
      </c>
      <c r="H46" s="33" t="s">
        <v>22</v>
      </c>
      <c r="I46" s="33" t="s">
        <v>42</v>
      </c>
      <c r="J46" s="33" t="s">
        <v>25</v>
      </c>
      <c r="K46" s="45" t="s">
        <v>36</v>
      </c>
      <c r="L46" s="33" t="s">
        <v>26</v>
      </c>
      <c r="M46" s="33" t="s">
        <v>27</v>
      </c>
      <c r="N46" s="33" t="s">
        <v>31</v>
      </c>
    </row>
    <row r="47" spans="1:25">
      <c r="A47" s="44" t="str">
        <f>A16</f>
        <v>Image 1333</v>
      </c>
      <c r="B47" s="42">
        <f t="shared" ref="B47:G47" si="7">B16</f>
        <v>44388</v>
      </c>
      <c r="C47" s="52">
        <f t="shared" si="7"/>
        <v>82.898007670251886</v>
      </c>
      <c r="D47" s="30">
        <f t="shared" si="7"/>
        <v>2</v>
      </c>
      <c r="E47" s="30">
        <f t="shared" si="7"/>
        <v>100</v>
      </c>
      <c r="F47" s="31">
        <f t="shared" si="7"/>
        <v>41.449003835125943</v>
      </c>
      <c r="G47" s="30" t="str">
        <f t="shared" si="7"/>
        <v>center of etalon</v>
      </c>
      <c r="H47" s="30" t="s">
        <v>23</v>
      </c>
      <c r="I47" s="30">
        <v>5</v>
      </c>
      <c r="J47" s="54">
        <f>D41</f>
        <v>9.2882474407329436</v>
      </c>
      <c r="K47" s="56">
        <f>D39</f>
        <v>0.23185398599050072</v>
      </c>
      <c r="L47" s="52">
        <f>W41</f>
        <v>0.61399156931017196</v>
      </c>
      <c r="M47" s="32">
        <f>M24</f>
        <v>0.54062564925624923</v>
      </c>
      <c r="N47" s="32">
        <f>L24</f>
        <v>0.73527249999999944</v>
      </c>
      <c r="Y47" s="41"/>
    </row>
    <row r="49" spans="4:18">
      <c r="I49" s="34" t="s">
        <v>65</v>
      </c>
      <c r="J49" s="35">
        <f>AVERAGE(J47:J47)</f>
        <v>9.2882474407329436</v>
      </c>
      <c r="K49" s="55">
        <f>AVERAGE(K47:K47)</f>
        <v>0.23185398599050072</v>
      </c>
      <c r="L49" s="35"/>
      <c r="M49" s="35"/>
      <c r="N49" s="35"/>
      <c r="O49" s="47"/>
    </row>
    <row r="51" spans="4:18">
      <c r="L51" s="20"/>
    </row>
    <row r="53" spans="4:18">
      <c r="K53" s="8"/>
      <c r="L53" s="8"/>
      <c r="M53" s="8"/>
      <c r="N53" s="8"/>
      <c r="O53" s="8"/>
      <c r="P53" s="8"/>
      <c r="Q53" s="8"/>
      <c r="R53" s="8"/>
    </row>
    <row r="54" spans="4:18">
      <c r="K54" s="8"/>
      <c r="L54" s="8"/>
      <c r="M54" s="8"/>
      <c r="N54" s="8"/>
      <c r="O54" s="8"/>
      <c r="P54" s="8"/>
      <c r="Q54" s="8"/>
      <c r="R54" s="8"/>
    </row>
    <row r="55" spans="4:18">
      <c r="K55" s="8"/>
      <c r="L55" s="8"/>
      <c r="M55" s="8"/>
      <c r="N55" s="8"/>
      <c r="O55" s="8"/>
      <c r="P55" s="8"/>
      <c r="Q55" s="8"/>
      <c r="R55" s="8"/>
    </row>
    <row r="57" spans="4:18">
      <c r="D57" s="8"/>
      <c r="E57" s="8"/>
      <c r="F57" s="8"/>
      <c r="G57" s="8">
        <f>3*20</f>
        <v>60</v>
      </c>
      <c r="H57" s="8"/>
      <c r="I57" s="8"/>
      <c r="J57" s="8"/>
      <c r="K57" s="8"/>
      <c r="L57" s="8"/>
      <c r="M57" s="8"/>
    </row>
    <row r="58" spans="4:18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4:18">
      <c r="D59" s="8"/>
      <c r="E59" s="8"/>
      <c r="F59" s="8"/>
      <c r="G59" s="8"/>
      <c r="H59" s="8"/>
      <c r="I59" s="8"/>
      <c r="J59" s="8"/>
      <c r="K59" s="8"/>
      <c r="L59" s="8"/>
      <c r="M59" s="8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readme</vt:lpstr>
      <vt:lpstr>calculation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viladrich</dc:creator>
  <cp:lastModifiedBy>Viladrich</cp:lastModifiedBy>
  <dcterms:created xsi:type="dcterms:W3CDTF">2020-12-13T14:39:52Z</dcterms:created>
  <dcterms:modified xsi:type="dcterms:W3CDTF">2025-07-04T12:39:40Z</dcterms:modified>
</cp:coreProperties>
</file>