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2210"/>
  </bookViews>
  <sheets>
    <sheet name="air-spaced etalon" sheetId="1" r:id="rId1"/>
  </sheets>
  <calcPr calcId="125725"/>
</workbook>
</file>

<file path=xl/calcChain.xml><?xml version="1.0" encoding="utf-8"?>
<calcChain xmlns="http://schemas.openxmlformats.org/spreadsheetml/2006/main">
  <c r="A98" i="1"/>
  <c r="B98"/>
  <c r="D98"/>
  <c r="E98"/>
  <c r="G98"/>
  <c r="H98"/>
  <c r="A99"/>
  <c r="B99"/>
  <c r="D99"/>
  <c r="E99"/>
  <c r="G99"/>
  <c r="H99"/>
  <c r="A100"/>
  <c r="B100"/>
  <c r="D100"/>
  <c r="E100"/>
  <c r="G100"/>
  <c r="H100"/>
  <c r="AE92"/>
  <c r="AE68"/>
  <c r="AE44"/>
  <c r="AE87"/>
  <c r="R100" s="1"/>
  <c r="AC78"/>
  <c r="AC79" s="1"/>
  <c r="AC80" s="1"/>
  <c r="AC81" s="1"/>
  <c r="AC82" s="1"/>
  <c r="AE63"/>
  <c r="R99" s="1"/>
  <c r="AC54"/>
  <c r="AC55" s="1"/>
  <c r="AC56" s="1"/>
  <c r="AC57" s="1"/>
  <c r="AC58" s="1"/>
  <c r="AE39"/>
  <c r="R98" s="1"/>
  <c r="AC31"/>
  <c r="AC32" s="1"/>
  <c r="AC33" s="1"/>
  <c r="AC34" s="1"/>
  <c r="AC30"/>
  <c r="D30"/>
  <c r="E30"/>
  <c r="D9"/>
  <c r="I15"/>
  <c r="K15"/>
  <c r="K14"/>
  <c r="N14" s="1"/>
  <c r="D14" s="1"/>
  <c r="P34"/>
  <c r="H34"/>
  <c r="I34"/>
  <c r="N13"/>
  <c r="D13" s="1"/>
  <c r="N16"/>
  <c r="D16" s="1"/>
  <c r="N12"/>
  <c r="D12" s="1"/>
  <c r="P58"/>
  <c r="H58"/>
  <c r="I58"/>
  <c r="N15" l="1"/>
  <c r="D15" s="1"/>
  <c r="C22"/>
  <c r="C98" s="1"/>
  <c r="F98" s="1"/>
  <c r="J58"/>
  <c r="AD58" s="1"/>
  <c r="J34"/>
  <c r="P57"/>
  <c r="I57"/>
  <c r="J57" s="1"/>
  <c r="AD57" s="1"/>
  <c r="H57"/>
  <c r="P56"/>
  <c r="I56"/>
  <c r="J56" s="1"/>
  <c r="AD56" s="1"/>
  <c r="H56"/>
  <c r="P55"/>
  <c r="I55"/>
  <c r="J55" s="1"/>
  <c r="AD55" s="1"/>
  <c r="H55"/>
  <c r="P54"/>
  <c r="I54"/>
  <c r="J54" s="1"/>
  <c r="AD54" s="1"/>
  <c r="H54"/>
  <c r="I50"/>
  <c r="J50" s="1"/>
  <c r="AD53" s="1"/>
  <c r="H50"/>
  <c r="P82"/>
  <c r="H82"/>
  <c r="I82"/>
  <c r="J82" s="1"/>
  <c r="AD82" s="1"/>
  <c r="P81"/>
  <c r="I81"/>
  <c r="J81" s="1"/>
  <c r="AD81" s="1"/>
  <c r="H81"/>
  <c r="P80"/>
  <c r="I80"/>
  <c r="J80" s="1"/>
  <c r="AD80" s="1"/>
  <c r="H80"/>
  <c r="P79"/>
  <c r="I79"/>
  <c r="J79" s="1"/>
  <c r="AD79" s="1"/>
  <c r="H79"/>
  <c r="P78"/>
  <c r="I78"/>
  <c r="J78" s="1"/>
  <c r="AD78" s="1"/>
  <c r="H78"/>
  <c r="I74"/>
  <c r="J74" s="1"/>
  <c r="AD77" s="1"/>
  <c r="H74"/>
  <c r="P33"/>
  <c r="I33"/>
  <c r="J33" s="1"/>
  <c r="AD33" s="1"/>
  <c r="H33"/>
  <c r="P32"/>
  <c r="I32"/>
  <c r="J32" s="1"/>
  <c r="AD32" s="1"/>
  <c r="H32"/>
  <c r="P31"/>
  <c r="I31"/>
  <c r="J31" s="1"/>
  <c r="AD31" s="1"/>
  <c r="H31"/>
  <c r="P30"/>
  <c r="I30"/>
  <c r="J30" s="1"/>
  <c r="AD30" s="1"/>
  <c r="H30"/>
  <c r="I26"/>
  <c r="J26" s="1"/>
  <c r="AD29" s="1"/>
  <c r="H26"/>
  <c r="AE33" l="1"/>
  <c r="AF33" s="1"/>
  <c r="AE31"/>
  <c r="AF31" s="1"/>
  <c r="AE32"/>
  <c r="AF32" s="1"/>
  <c r="AE30"/>
  <c r="AF30" s="1"/>
  <c r="C46"/>
  <c r="AE26"/>
  <c r="AE29" s="1"/>
  <c r="AF29" s="1"/>
  <c r="K34"/>
  <c r="AD34"/>
  <c r="Q34"/>
  <c r="Q58"/>
  <c r="Q32"/>
  <c r="K26"/>
  <c r="L26" s="1"/>
  <c r="N98" s="1"/>
  <c r="Q33"/>
  <c r="Q55"/>
  <c r="K33"/>
  <c r="M33" s="1"/>
  <c r="K55"/>
  <c r="K31"/>
  <c r="K32"/>
  <c r="M32" s="1"/>
  <c r="K50"/>
  <c r="L50" s="1"/>
  <c r="Q57"/>
  <c r="Q31"/>
  <c r="K57"/>
  <c r="Q30"/>
  <c r="K30"/>
  <c r="K58"/>
  <c r="M58" s="1"/>
  <c r="Q54"/>
  <c r="K54"/>
  <c r="M54" s="1"/>
  <c r="Q56"/>
  <c r="K56"/>
  <c r="M56" s="1"/>
  <c r="AE58" l="1"/>
  <c r="AF58" s="1"/>
  <c r="AE55"/>
  <c r="AF55" s="1"/>
  <c r="AE80"/>
  <c r="AF80" s="1"/>
  <c r="AE54"/>
  <c r="AF54" s="1"/>
  <c r="C70"/>
  <c r="C99"/>
  <c r="F99" s="1"/>
  <c r="AE78"/>
  <c r="AF78" s="1"/>
  <c r="M50"/>
  <c r="M99" s="1"/>
  <c r="N99"/>
  <c r="AE82"/>
  <c r="AF82" s="1"/>
  <c r="AE81"/>
  <c r="AF81" s="1"/>
  <c r="R34"/>
  <c r="AE34"/>
  <c r="AF34" s="1"/>
  <c r="M34"/>
  <c r="N34" s="1"/>
  <c r="S34"/>
  <c r="V34" s="1"/>
  <c r="AE79"/>
  <c r="AF79" s="1"/>
  <c r="AE57"/>
  <c r="AF57" s="1"/>
  <c r="AE53"/>
  <c r="AF53" s="1"/>
  <c r="AE56"/>
  <c r="AF56" s="1"/>
  <c r="L34"/>
  <c r="AE77"/>
  <c r="AF77" s="1"/>
  <c r="U34"/>
  <c r="L57"/>
  <c r="R56"/>
  <c r="U56" s="1"/>
  <c r="S55"/>
  <c r="V55" s="1"/>
  <c r="L56"/>
  <c r="R32"/>
  <c r="U32" s="1"/>
  <c r="M57"/>
  <c r="N57" s="1"/>
  <c r="R30"/>
  <c r="S33"/>
  <c r="V33" s="1"/>
  <c r="S56"/>
  <c r="V56" s="1"/>
  <c r="M30"/>
  <c r="M55"/>
  <c r="N56" s="1"/>
  <c r="S57"/>
  <c r="V57" s="1"/>
  <c r="L31"/>
  <c r="R55"/>
  <c r="U55" s="1"/>
  <c r="L32"/>
  <c r="R33"/>
  <c r="U33" s="1"/>
  <c r="S30"/>
  <c r="V30" s="1"/>
  <c r="R31"/>
  <c r="U31" s="1"/>
  <c r="S54"/>
  <c r="V54" s="1"/>
  <c r="S31"/>
  <c r="V31" s="1"/>
  <c r="M31"/>
  <c r="N32" s="1"/>
  <c r="R54"/>
  <c r="U54" s="1"/>
  <c r="L33"/>
  <c r="S32"/>
  <c r="V32" s="1"/>
  <c r="L55"/>
  <c r="R57"/>
  <c r="U57" s="1"/>
  <c r="R58"/>
  <c r="U58" s="1"/>
  <c r="L58"/>
  <c r="S58"/>
  <c r="V58" s="1"/>
  <c r="M26"/>
  <c r="M98" s="1"/>
  <c r="N33"/>
  <c r="T34" l="1"/>
  <c r="W34"/>
  <c r="K81"/>
  <c r="C100"/>
  <c r="F100" s="1"/>
  <c r="K82"/>
  <c r="Q78"/>
  <c r="Q81"/>
  <c r="K74"/>
  <c r="L74" s="1"/>
  <c r="K78"/>
  <c r="Q79"/>
  <c r="Q82"/>
  <c r="K80"/>
  <c r="Q80"/>
  <c r="K79"/>
  <c r="W57"/>
  <c r="L36"/>
  <c r="N31"/>
  <c r="N36" s="1"/>
  <c r="T30"/>
  <c r="W32"/>
  <c r="W55"/>
  <c r="T56"/>
  <c r="W56"/>
  <c r="W31"/>
  <c r="T31"/>
  <c r="N58"/>
  <c r="U30"/>
  <c r="W30" s="1"/>
  <c r="L60"/>
  <c r="N55"/>
  <c r="W33"/>
  <c r="T33"/>
  <c r="T55"/>
  <c r="T32"/>
  <c r="T54"/>
  <c r="W58"/>
  <c r="T57"/>
  <c r="W54"/>
  <c r="T58"/>
  <c r="R81" l="1"/>
  <c r="M81"/>
  <c r="N82" s="1"/>
  <c r="S81"/>
  <c r="V81" s="1"/>
  <c r="L81"/>
  <c r="M82"/>
  <c r="R82"/>
  <c r="L82"/>
  <c r="S82"/>
  <c r="V82" s="1"/>
  <c r="N100"/>
  <c r="M74"/>
  <c r="M100" s="1"/>
  <c r="M79"/>
  <c r="L79"/>
  <c r="S79"/>
  <c r="V79" s="1"/>
  <c r="R79"/>
  <c r="M78"/>
  <c r="N79" s="1"/>
  <c r="S78"/>
  <c r="V78" s="1"/>
  <c r="R78"/>
  <c r="M80"/>
  <c r="R80"/>
  <c r="L80"/>
  <c r="S80"/>
  <c r="V80" s="1"/>
  <c r="W36"/>
  <c r="W60"/>
  <c r="N60"/>
  <c r="D63" s="1"/>
  <c r="D66" s="1"/>
  <c r="J99" s="1"/>
  <c r="T36"/>
  <c r="T38" s="1"/>
  <c r="T60"/>
  <c r="T62" s="1"/>
  <c r="U81" l="1"/>
  <c r="W81" s="1"/>
  <c r="T81"/>
  <c r="T79"/>
  <c r="U79"/>
  <c r="W79" s="1"/>
  <c r="U82"/>
  <c r="W82" s="1"/>
  <c r="T82"/>
  <c r="W80"/>
  <c r="U78"/>
  <c r="W78" s="1"/>
  <c r="T78"/>
  <c r="U80"/>
  <c r="T80"/>
  <c r="N80"/>
  <c r="N81"/>
  <c r="L84"/>
  <c r="W62"/>
  <c r="W66" s="1"/>
  <c r="L99" s="1"/>
  <c r="O99" s="1"/>
  <c r="T66"/>
  <c r="D64"/>
  <c r="K99" s="1"/>
  <c r="W84" l="1"/>
  <c r="W86" s="1"/>
  <c r="T84"/>
  <c r="T86" s="1"/>
  <c r="N84"/>
  <c r="D87" s="1"/>
  <c r="W38"/>
  <c r="D39"/>
  <c r="D42" s="1"/>
  <c r="J98" s="1"/>
  <c r="D40" l="1"/>
  <c r="K98" s="1"/>
  <c r="D88"/>
  <c r="K100" s="1"/>
  <c r="D90"/>
  <c r="W42"/>
  <c r="L98" s="1"/>
  <c r="T42"/>
  <c r="O98" l="1"/>
  <c r="J100"/>
  <c r="W90"/>
  <c r="L100" s="1"/>
  <c r="O100" s="1"/>
  <c r="T90"/>
</calcChain>
</file>

<file path=xl/comments1.xml><?xml version="1.0" encoding="utf-8"?>
<comments xmlns="http://schemas.openxmlformats.org/spreadsheetml/2006/main">
  <authors>
    <author>viladrich</author>
  </authors>
  <commentList>
    <comment ref="I12" authorId="0">
      <text>
        <r>
          <rPr>
            <b/>
            <sz val="9"/>
            <color indexed="81"/>
            <rFont val="Tahoma"/>
            <family val="2"/>
          </rPr>
          <t>moyenne de 2 mesures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moyenne de 2 mesures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moyenne de 2 mesures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viladrich:</t>
        </r>
        <r>
          <rPr>
            <sz val="9"/>
            <color indexed="81"/>
            <rFont val="Tahoma"/>
            <family val="2"/>
          </rPr>
          <t xml:space="preserve">
symetrique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viladrich:</t>
        </r>
        <r>
          <rPr>
            <sz val="9"/>
            <color indexed="81"/>
            <rFont val="Tahoma"/>
            <family val="2"/>
          </rPr>
          <t xml:space="preserve">
symetrique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viladrich:</t>
        </r>
        <r>
          <rPr>
            <sz val="9"/>
            <color indexed="81"/>
            <rFont val="Tahoma"/>
            <family val="2"/>
          </rPr>
          <t xml:space="preserve">
symetrique</t>
        </r>
      </text>
    </comment>
  </commentList>
</comments>
</file>

<file path=xl/sharedStrings.xml><?xml version="1.0" encoding="utf-8"?>
<sst xmlns="http://schemas.openxmlformats.org/spreadsheetml/2006/main" count="349" uniqueCount="133">
  <si>
    <t>pixels</t>
  </si>
  <si>
    <t>microns</t>
  </si>
  <si>
    <t>lambda</t>
  </si>
  <si>
    <t>A</t>
  </si>
  <si>
    <t>n</t>
  </si>
  <si>
    <t>mm</t>
  </si>
  <si>
    <t>micron</t>
  </si>
  <si>
    <t>FSR = Lambda^2/(2 x n x e)</t>
  </si>
  <si>
    <t>radian</t>
  </si>
  <si>
    <t>pixel</t>
  </si>
  <si>
    <t>FWHMA = rayon mi-hauteur ^2 - rayon mi-hauteur ^2</t>
  </si>
  <si>
    <t>i+k</t>
  </si>
  <si>
    <t>i-k</t>
  </si>
  <si>
    <t>FWHMA</t>
  </si>
  <si>
    <t>FSRA</t>
  </si>
  <si>
    <t>Finesse = FSRA/FWHMA=</t>
  </si>
  <si>
    <t>FWHM = FSR/Finesse =</t>
  </si>
  <si>
    <t>e= n Lambda /FSRA</t>
  </si>
  <si>
    <t>delta des i^2</t>
  </si>
  <si>
    <t>radian^2</t>
  </si>
  <si>
    <t>FSRA moyen =</t>
  </si>
  <si>
    <t>FWHMA moyen =</t>
  </si>
  <si>
    <t>6048x4024</t>
  </si>
  <si>
    <t>FWHM</t>
  </si>
  <si>
    <t>cos^2</t>
  </si>
  <si>
    <t>delta des cos ^2</t>
  </si>
  <si>
    <t>FWHM moy</t>
  </si>
  <si>
    <t>ISO</t>
  </si>
  <si>
    <t>Distance</t>
  </si>
  <si>
    <t>centre</t>
  </si>
  <si>
    <t>f=</t>
  </si>
  <si>
    <t>Position</t>
  </si>
  <si>
    <t>degré</t>
  </si>
  <si>
    <t>delta Lambda (A)</t>
  </si>
  <si>
    <t>FSR (A)</t>
  </si>
  <si>
    <t>FWHM (A)</t>
  </si>
  <si>
    <t>Delta CWL (A)</t>
  </si>
  <si>
    <t>Image</t>
  </si>
  <si>
    <t>Date</t>
  </si>
  <si>
    <t>f-ratio</t>
  </si>
  <si>
    <t>Equivalent tilt(°)</t>
  </si>
  <si>
    <t>100 ISO</t>
  </si>
  <si>
    <t>plus/moins 0.2 mm</t>
  </si>
  <si>
    <t>scale</t>
  </si>
  <si>
    <t>arsc/pixel</t>
  </si>
  <si>
    <t>micron/pixel</t>
  </si>
  <si>
    <t>D5300</t>
  </si>
  <si>
    <t>mesuré avec Astrometry.net</t>
  </si>
  <si>
    <t>Nikkor 50 mm f/1.8</t>
  </si>
  <si>
    <t>Nikkor Z 85 mm f/1.8</t>
  </si>
  <si>
    <t>Sigma 150-600 f/5</t>
  </si>
  <si>
    <t>Nikon Z6</t>
  </si>
  <si>
    <t>mesuré avec Astrometry.net et image de 1/s sur Orion (crop central)</t>
  </si>
  <si>
    <t>Gap (mm)</t>
  </si>
  <si>
    <t>degree</t>
  </si>
  <si>
    <t>delta cos ^2</t>
  </si>
  <si>
    <t>FWHM L</t>
  </si>
  <si>
    <t>FWHM R</t>
  </si>
  <si>
    <t>calculated center</t>
  </si>
  <si>
    <t>radius</t>
  </si>
  <si>
    <t>Central ring</t>
  </si>
  <si>
    <t>Ring number</t>
  </si>
  <si>
    <t>L peak position</t>
  </si>
  <si>
    <t>Left fringes</t>
  </si>
  <si>
    <t>Right fringes</t>
  </si>
  <si>
    <t>delta i^2</t>
  </si>
  <si>
    <t>R peak position</t>
  </si>
  <si>
    <t>FSRA average =</t>
  </si>
  <si>
    <t>FWHMA average =</t>
  </si>
  <si>
    <t>0 cm</t>
  </si>
  <si>
    <t>Lens (focal length - mm)</t>
  </si>
  <si>
    <t>Aperture</t>
  </si>
  <si>
    <t>Nikon Z6 + Sigma 135 mm f/1.8</t>
  </si>
  <si>
    <t>arsec/pixel</t>
  </si>
  <si>
    <t>Nikon Z7 + Sigma 135 mm f/1.8</t>
  </si>
  <si>
    <t>Nikon Z7</t>
  </si>
  <si>
    <t>Nikon Z7II</t>
  </si>
  <si>
    <t>déduit de la mesure au Z6</t>
  </si>
  <si>
    <t>blue wing</t>
  </si>
  <si>
    <t>FWHM deconvoluated (A)</t>
  </si>
  <si>
    <t>FWHM hydrogen lamp =</t>
  </si>
  <si>
    <t>1s</t>
  </si>
  <si>
    <t># PeakType</t>
  </si>
  <si>
    <t>Center</t>
  </si>
  <si>
    <t>%_22  Voigt</t>
  </si>
  <si>
    <t>%_21  Voigt</t>
  </si>
  <si>
    <t>%_19  Voigt</t>
  </si>
  <si>
    <t>%_16  Voigt</t>
  </si>
  <si>
    <t>%_14  Voigt</t>
  </si>
  <si>
    <t>%_13  Voigt</t>
  </si>
  <si>
    <t>%_15  Voigt</t>
  </si>
  <si>
    <t>%_17  Voigt</t>
  </si>
  <si>
    <t>%_18  Voigt</t>
  </si>
  <si>
    <t>%_20  Voigt</t>
  </si>
  <si>
    <t>%_34  Voigt</t>
  </si>
  <si>
    <t>%_32  Voigt</t>
  </si>
  <si>
    <t>%_30  Voigt</t>
  </si>
  <si>
    <t>%_28  Voigt</t>
  </si>
  <si>
    <t>%_26  Voigt</t>
  </si>
  <si>
    <t>%_25  Voigt</t>
  </si>
  <si>
    <t>%_27  Voigt</t>
  </si>
  <si>
    <t>%_29  Voigt</t>
  </si>
  <si>
    <t>%_31  Voigt</t>
  </si>
  <si>
    <t>%_33  Voigt</t>
  </si>
  <si>
    <t xml:space="preserve">4s </t>
  </si>
  <si>
    <t xml:space="preserve">Nb fringes </t>
  </si>
  <si>
    <t>%_45  Voigt</t>
  </si>
  <si>
    <t>%_42  Voigt</t>
  </si>
  <si>
    <t>%_41  Voigt</t>
  </si>
  <si>
    <t>%_38  Voigt</t>
  </si>
  <si>
    <t>%_37  Voigt</t>
  </si>
  <si>
    <t>%_35  Voigt</t>
  </si>
  <si>
    <t>%_36  Voigt</t>
  </si>
  <si>
    <t>%_39  Voigt</t>
  </si>
  <si>
    <t>%_40  Voigt</t>
  </si>
  <si>
    <t>%_43  Voigt</t>
  </si>
  <si>
    <t>%_44  Voigt</t>
  </si>
  <si>
    <t>Ha</t>
  </si>
  <si>
    <t>Dm</t>
  </si>
  <si>
    <t>Dm/2f</t>
  </si>
  <si>
    <t>m</t>
  </si>
  <si>
    <t>l/l0=</t>
  </si>
  <si>
    <t>l0</t>
  </si>
  <si>
    <t>delta L =</t>
  </si>
  <si>
    <t>Delta CWL formule(6)</t>
  </si>
  <si>
    <t>pixel size</t>
  </si>
  <si>
    <t>with frange 0</t>
  </si>
  <si>
    <t>without frange 0</t>
  </si>
  <si>
    <t>Mesurement of the X position of the max and of the FWHM of the fringes - Fityk - red channel</t>
  </si>
  <si>
    <t>delta CWL</t>
  </si>
  <si>
    <t>blue</t>
  </si>
  <si>
    <t>uncompressed - red</t>
  </si>
  <si>
    <t>air-spaced</t>
  </si>
</sst>
</file>

<file path=xl/styles.xml><?xml version="1.0" encoding="utf-8"?>
<styleSheet xmlns="http://schemas.openxmlformats.org/spreadsheetml/2006/main">
  <numFmts count="7">
    <numFmt numFmtId="164" formatCode="0.000"/>
    <numFmt numFmtId="165" formatCode="0.000E+00"/>
    <numFmt numFmtId="166" formatCode="0.0000"/>
    <numFmt numFmtId="167" formatCode="0.00.E+00"/>
    <numFmt numFmtId="168" formatCode="0.0"/>
    <numFmt numFmtId="169" formatCode="0.00000"/>
    <numFmt numFmtId="170" formatCode="0.000000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9" applyNumberFormat="0" applyAlignment="0" applyProtection="0"/>
    <xf numFmtId="0" fontId="18" fillId="13" borderId="10" applyNumberFormat="0" applyAlignment="0" applyProtection="0"/>
    <xf numFmtId="0" fontId="19" fillId="13" borderId="9" applyNumberFormat="0" applyAlignment="0" applyProtection="0"/>
    <xf numFmtId="0" fontId="20" fillId="0" borderId="11" applyNumberFormat="0" applyFill="0" applyAlignment="0" applyProtection="0"/>
    <xf numFmtId="0" fontId="21" fillId="14" borderId="12" applyNumberFormat="0" applyAlignment="0" applyProtection="0"/>
    <xf numFmtId="0" fontId="1" fillId="0" borderId="0" applyNumberFormat="0" applyFill="0" applyBorder="0" applyAlignment="0" applyProtection="0"/>
    <xf numFmtId="0" fontId="9" fillId="15" borderId="13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23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23" fillId="39" borderId="0" applyNumberFormat="0" applyBorder="0" applyAlignment="0" applyProtection="0"/>
  </cellStyleXfs>
  <cellXfs count="8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2" fontId="1" fillId="2" borderId="0" xfId="0" applyNumberFormat="1" applyFont="1" applyFill="1" applyAlignment="1">
      <alignment horizontal="center"/>
    </xf>
    <xf numFmtId="167" fontId="0" fillId="0" borderId="0" xfId="0" applyNumberFormat="1"/>
    <xf numFmtId="0" fontId="1" fillId="0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168" fontId="0" fillId="3" borderId="0" xfId="0" applyNumberFormat="1" applyFill="1"/>
    <xf numFmtId="169" fontId="0" fillId="0" borderId="0" xfId="0" applyNumberFormat="1"/>
    <xf numFmtId="168" fontId="0" fillId="0" borderId="0" xfId="0" applyNumberFormat="1" applyAlignment="1">
      <alignment horizontal="center"/>
    </xf>
    <xf numFmtId="164" fontId="0" fillId="3" borderId="0" xfId="0" applyNumberFormat="1" applyFill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/>
    <xf numFmtId="0" fontId="0" fillId="5" borderId="0" xfId="0" applyFill="1"/>
    <xf numFmtId="0" fontId="0" fillId="5" borderId="0" xfId="0" applyFill="1" applyAlignment="1">
      <alignment horizontal="center"/>
    </xf>
    <xf numFmtId="170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8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5" fontId="0" fillId="5" borderId="0" xfId="0" applyNumberFormat="1" applyFill="1"/>
    <xf numFmtId="0" fontId="0" fillId="0" borderId="3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15" fontId="0" fillId="0" borderId="0" xfId="0" applyNumberFormat="1" applyAlignment="1">
      <alignment horizontal="left"/>
    </xf>
    <xf numFmtId="0" fontId="0" fillId="4" borderId="0" xfId="0" applyFill="1"/>
    <xf numFmtId="15" fontId="0" fillId="4" borderId="0" xfId="0" applyNumberFormat="1" applyFill="1" applyAlignment="1">
      <alignment horizontal="left"/>
    </xf>
    <xf numFmtId="15" fontId="0" fillId="0" borderId="0" xfId="0" applyNumberFormat="1" applyFill="1"/>
    <xf numFmtId="0" fontId="1" fillId="2" borderId="0" xfId="0" applyFont="1" applyFill="1"/>
    <xf numFmtId="0" fontId="0" fillId="0" borderId="4" xfId="0" applyBorder="1" applyAlignment="1">
      <alignment horizontal="center"/>
    </xf>
    <xf numFmtId="0" fontId="0" fillId="6" borderId="2" xfId="0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" fontId="0" fillId="0" borderId="0" xfId="0" applyNumberFormat="1" applyFill="1"/>
    <xf numFmtId="14" fontId="1" fillId="2" borderId="0" xfId="0" applyNumberFormat="1" applyFont="1" applyFill="1"/>
    <xf numFmtId="2" fontId="0" fillId="0" borderId="0" xfId="0" applyNumberFormat="1" applyFill="1" applyAlignment="1">
      <alignment horizontal="center"/>
    </xf>
    <xf numFmtId="168" fontId="0" fillId="0" borderId="4" xfId="0" applyNumberForma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8" fontId="0" fillId="0" borderId="5" xfId="0" applyNumberFormat="1" applyBorder="1" applyAlignment="1">
      <alignment horizontal="center"/>
    </xf>
    <xf numFmtId="2" fontId="1" fillId="2" borderId="0" xfId="0" applyNumberFormat="1" applyFont="1" applyFill="1"/>
    <xf numFmtId="168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9" fontId="0" fillId="4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0" xfId="0" applyFill="1" applyAlignment="1">
      <alignment horizontal="centerContinuous"/>
    </xf>
    <xf numFmtId="0" fontId="0" fillId="0" borderId="0" xfId="0" applyNumberFormat="1" applyFill="1" applyAlignment="1">
      <alignment horizontal="centerContinuous"/>
    </xf>
    <xf numFmtId="2" fontId="0" fillId="8" borderId="0" xfId="0" applyNumberFormat="1" applyFill="1" applyAlignment="1">
      <alignment horizontal="center"/>
    </xf>
    <xf numFmtId="0" fontId="4" fillId="0" borderId="0" xfId="0" applyFont="1" applyFill="1"/>
    <xf numFmtId="0" fontId="5" fillId="0" borderId="0" xfId="0" applyFont="1"/>
    <xf numFmtId="0" fontId="6" fillId="2" borderId="0" xfId="0" applyFont="1" applyFill="1"/>
    <xf numFmtId="2" fontId="5" fillId="0" borderId="0" xfId="0" applyNumberFormat="1" applyFont="1" applyFill="1"/>
    <xf numFmtId="0" fontId="7" fillId="0" borderId="0" xfId="0" applyFont="1" applyFill="1"/>
    <xf numFmtId="166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8" fillId="0" borderId="0" xfId="0" applyFont="1"/>
    <xf numFmtId="164" fontId="0" fillId="0" borderId="0" xfId="0" applyNumberFormat="1" applyFill="1"/>
    <xf numFmtId="0" fontId="0" fillId="6" borderId="1" xfId="0" applyFill="1" applyBorder="1" applyAlignment="1">
      <alignment horizontal="center" wrapText="1"/>
    </xf>
    <xf numFmtId="0" fontId="0" fillId="40" borderId="15" xfId="0" applyFill="1" applyBorder="1"/>
    <xf numFmtId="0" fontId="5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24" fillId="0" borderId="0" xfId="0" applyFont="1" applyAlignment="1">
      <alignment horizontal="center" readingOrder="1"/>
    </xf>
    <xf numFmtId="0" fontId="25" fillId="2" borderId="0" xfId="0" applyFont="1" applyFill="1" applyAlignment="1">
      <alignment horizontal="center" readingOrder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25739873140857394"/>
                  <c:y val="-0.53835691950955167"/>
                </c:manualLayout>
              </c:layout>
              <c:numFmt formatCode="#,##0.00000000" sourceLinked="0"/>
            </c:trendlineLbl>
          </c:trendline>
          <c:xVal>
            <c:numRef>
              <c:f>'air-spaced etalon'!$AC$29:$AC$34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'air-spaced etalon'!$AF$29:$AF$34</c:f>
              <c:numCache>
                <c:formatCode>General</c:formatCode>
                <c:ptCount val="6"/>
                <c:pt idx="0">
                  <c:v>0.99996058204857019</c:v>
                </c:pt>
                <c:pt idx="1">
                  <c:v>0.99837746406472316</c:v>
                </c:pt>
                <c:pt idx="2">
                  <c:v>0.99678842154062297</c:v>
                </c:pt>
                <c:pt idx="3">
                  <c:v>0.99519431335234687</c:v>
                </c:pt>
                <c:pt idx="4">
                  <c:v>0.99359575934475053</c:v>
                </c:pt>
                <c:pt idx="5">
                  <c:v>0.99199307538509851</c:v>
                </c:pt>
              </c:numCache>
            </c:numRef>
          </c:yVal>
        </c:ser>
        <c:axId val="105716352"/>
        <c:axId val="105734528"/>
      </c:scatterChart>
      <c:valAx>
        <c:axId val="105716352"/>
        <c:scaling>
          <c:orientation val="minMax"/>
        </c:scaling>
        <c:axPos val="b"/>
        <c:numFmt formatCode="General" sourceLinked="1"/>
        <c:tickLblPos val="nextTo"/>
        <c:crossAx val="105734528"/>
        <c:crosses val="autoZero"/>
        <c:crossBetween val="midCat"/>
      </c:valAx>
      <c:valAx>
        <c:axId val="105734528"/>
        <c:scaling>
          <c:orientation val="minMax"/>
        </c:scaling>
        <c:axPos val="l"/>
        <c:majorGridlines/>
        <c:numFmt formatCode="General" sourceLinked="1"/>
        <c:tickLblPos val="nextTo"/>
        <c:crossAx val="1057163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5.4723972003499564E-2"/>
                  <c:y val="-0.51791120200040552"/>
                </c:manualLayout>
              </c:layout>
              <c:numFmt formatCode="#,##0.00000000" sourceLinked="0"/>
            </c:trendlineLbl>
          </c:trendline>
          <c:xVal>
            <c:numRef>
              <c:f>'air-spaced etalon'!$AC$53:$AC$58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'air-spaced etalon'!$AF$53:$AF$58</c:f>
              <c:numCache>
                <c:formatCode>General</c:formatCode>
                <c:ptCount val="6"/>
                <c:pt idx="0">
                  <c:v>1</c:v>
                </c:pt>
                <c:pt idx="1">
                  <c:v>0.99841217340670252</c:v>
                </c:pt>
                <c:pt idx="2">
                  <c:v>0.99682403994609525</c:v>
                </c:pt>
                <c:pt idx="3">
                  <c:v>0.9952303152673766</c:v>
                </c:pt>
                <c:pt idx="4">
                  <c:v>0.99363202033132947</c:v>
                </c:pt>
                <c:pt idx="5">
                  <c:v>0.99202915557939264</c:v>
                </c:pt>
              </c:numCache>
            </c:numRef>
          </c:yVal>
        </c:ser>
        <c:axId val="105763200"/>
        <c:axId val="105764736"/>
      </c:scatterChart>
      <c:valAx>
        <c:axId val="105763200"/>
        <c:scaling>
          <c:orientation val="minMax"/>
        </c:scaling>
        <c:axPos val="b"/>
        <c:numFmt formatCode="General" sourceLinked="1"/>
        <c:tickLblPos val="nextTo"/>
        <c:crossAx val="105764736"/>
        <c:crosses val="autoZero"/>
        <c:crossBetween val="midCat"/>
      </c:valAx>
      <c:valAx>
        <c:axId val="105764736"/>
        <c:scaling>
          <c:orientation val="minMax"/>
        </c:scaling>
        <c:axPos val="l"/>
        <c:majorGridlines/>
        <c:numFmt formatCode="General" sourceLinked="1"/>
        <c:tickLblPos val="nextTo"/>
        <c:crossAx val="105763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26573206474190725"/>
                  <c:y val="-0.53247911787743962"/>
                </c:manualLayout>
              </c:layout>
              <c:numFmt formatCode="#,##0.00000000" sourceLinked="0"/>
            </c:trendlineLbl>
          </c:trendline>
          <c:xVal>
            <c:numRef>
              <c:f>'air-spaced etalon'!$AC$77:$AC$82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'air-spaced etalon'!$AF$77:$AF$82</c:f>
              <c:numCache>
                <c:formatCode>General</c:formatCode>
                <c:ptCount val="6"/>
                <c:pt idx="0">
                  <c:v>0.99993363238869271</c:v>
                </c:pt>
                <c:pt idx="1">
                  <c:v>0.99835024376723502</c:v>
                </c:pt>
                <c:pt idx="2">
                  <c:v>0.99676006132718775</c:v>
                </c:pt>
                <c:pt idx="3">
                  <c:v>0.99516566870785073</c:v>
                </c:pt>
                <c:pt idx="4">
                  <c:v>0.99356783523689285</c:v>
                </c:pt>
                <c:pt idx="5">
                  <c:v>0.99196499936817673</c:v>
                </c:pt>
              </c:numCache>
            </c:numRef>
          </c:yVal>
        </c:ser>
        <c:axId val="105269120"/>
        <c:axId val="105270656"/>
      </c:scatterChart>
      <c:valAx>
        <c:axId val="105269120"/>
        <c:scaling>
          <c:orientation val="minMax"/>
        </c:scaling>
        <c:axPos val="b"/>
        <c:numFmt formatCode="General" sourceLinked="1"/>
        <c:tickLblPos val="nextTo"/>
        <c:crossAx val="105270656"/>
        <c:crosses val="autoZero"/>
        <c:crossBetween val="midCat"/>
      </c:valAx>
      <c:valAx>
        <c:axId val="105270656"/>
        <c:scaling>
          <c:orientation val="minMax"/>
        </c:scaling>
        <c:axPos val="l"/>
        <c:majorGridlines/>
        <c:numFmt formatCode="General" sourceLinked="1"/>
        <c:tickLblPos val="nextTo"/>
        <c:crossAx val="1052691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25739873140857394"/>
                  <c:y val="-0.53835691950955167"/>
                </c:manualLayout>
              </c:layout>
              <c:numFmt formatCode="#,##0.00000000" sourceLinked="0"/>
            </c:trendlineLbl>
          </c:trendline>
          <c:xVal>
            <c:numRef>
              <c:f>'air-spaced etalon'!$AC$30:$AC$34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'air-spaced etalon'!$AF$30:$AF$34</c:f>
              <c:numCache>
                <c:formatCode>General</c:formatCode>
                <c:ptCount val="5"/>
                <c:pt idx="0">
                  <c:v>0.99837746406472316</c:v>
                </c:pt>
                <c:pt idx="1">
                  <c:v>0.99678842154062297</c:v>
                </c:pt>
                <c:pt idx="2">
                  <c:v>0.99519431335234687</c:v>
                </c:pt>
                <c:pt idx="3">
                  <c:v>0.99359575934475053</c:v>
                </c:pt>
                <c:pt idx="4">
                  <c:v>0.99199307538509851</c:v>
                </c:pt>
              </c:numCache>
            </c:numRef>
          </c:yVal>
        </c:ser>
        <c:axId val="105287040"/>
        <c:axId val="105301120"/>
      </c:scatterChart>
      <c:valAx>
        <c:axId val="105287040"/>
        <c:scaling>
          <c:orientation val="minMax"/>
        </c:scaling>
        <c:axPos val="b"/>
        <c:numFmt formatCode="General" sourceLinked="1"/>
        <c:tickLblPos val="nextTo"/>
        <c:crossAx val="105301120"/>
        <c:crosses val="autoZero"/>
        <c:crossBetween val="midCat"/>
      </c:valAx>
      <c:valAx>
        <c:axId val="105301120"/>
        <c:scaling>
          <c:orientation val="minMax"/>
        </c:scaling>
        <c:axPos val="l"/>
        <c:majorGridlines/>
        <c:numFmt formatCode="General" sourceLinked="1"/>
        <c:tickLblPos val="nextTo"/>
        <c:crossAx val="1052870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15851574803149615"/>
                  <c:y val="-0.57513434811286868"/>
                </c:manualLayout>
              </c:layout>
              <c:numFmt formatCode="#,##0.00000000" sourceLinked="0"/>
            </c:trendlineLbl>
          </c:trendline>
          <c:xVal>
            <c:numRef>
              <c:f>'air-spaced etalon'!$AC$54:$AC$58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'air-spaced etalon'!$AF$54:$AF$58</c:f>
              <c:numCache>
                <c:formatCode>General</c:formatCode>
                <c:ptCount val="5"/>
                <c:pt idx="0">
                  <c:v>0.99841217340670252</c:v>
                </c:pt>
                <c:pt idx="1">
                  <c:v>0.99682403994609525</c:v>
                </c:pt>
                <c:pt idx="2">
                  <c:v>0.9952303152673766</c:v>
                </c:pt>
                <c:pt idx="3">
                  <c:v>0.99363202033132947</c:v>
                </c:pt>
                <c:pt idx="4">
                  <c:v>0.99202915557939264</c:v>
                </c:pt>
              </c:numCache>
            </c:numRef>
          </c:yVal>
        </c:ser>
        <c:axId val="105862272"/>
        <c:axId val="105863808"/>
      </c:scatterChart>
      <c:valAx>
        <c:axId val="105862272"/>
        <c:scaling>
          <c:orientation val="minMax"/>
        </c:scaling>
        <c:axPos val="b"/>
        <c:numFmt formatCode="General" sourceLinked="1"/>
        <c:tickLblPos val="nextTo"/>
        <c:crossAx val="105863808"/>
        <c:crosses val="autoZero"/>
        <c:crossBetween val="midCat"/>
      </c:valAx>
      <c:valAx>
        <c:axId val="105863808"/>
        <c:scaling>
          <c:orientation val="minMax"/>
        </c:scaling>
        <c:axPos val="l"/>
        <c:majorGridlines/>
        <c:numFmt formatCode="General" sourceLinked="1"/>
        <c:tickLblPos val="nextTo"/>
        <c:crossAx val="1058622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>
                <c:manualLayout>
                  <c:x val="0.26573206474190725"/>
                  <c:y val="-0.53247911787743951"/>
                </c:manualLayout>
              </c:layout>
              <c:numFmt formatCode="#,##0.00000000" sourceLinked="0"/>
            </c:trendlineLbl>
          </c:trendline>
          <c:xVal>
            <c:numRef>
              <c:f>'air-spaced etalon'!$AC$78:$AC$82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'air-spaced etalon'!$AF$78:$AF$82</c:f>
              <c:numCache>
                <c:formatCode>General</c:formatCode>
                <c:ptCount val="5"/>
                <c:pt idx="0">
                  <c:v>0.99835024376723502</c:v>
                </c:pt>
                <c:pt idx="1">
                  <c:v>0.99676006132718775</c:v>
                </c:pt>
                <c:pt idx="2">
                  <c:v>0.99516566870785073</c:v>
                </c:pt>
                <c:pt idx="3">
                  <c:v>0.99356783523689285</c:v>
                </c:pt>
                <c:pt idx="4">
                  <c:v>0.99196499936817673</c:v>
                </c:pt>
              </c:numCache>
            </c:numRef>
          </c:yVal>
        </c:ser>
        <c:axId val="106449536"/>
        <c:axId val="106463616"/>
      </c:scatterChart>
      <c:valAx>
        <c:axId val="106449536"/>
        <c:scaling>
          <c:orientation val="minMax"/>
        </c:scaling>
        <c:axPos val="b"/>
        <c:numFmt formatCode="General" sourceLinked="1"/>
        <c:tickLblPos val="nextTo"/>
        <c:crossAx val="106463616"/>
        <c:crosses val="autoZero"/>
        <c:crossBetween val="midCat"/>
      </c:valAx>
      <c:valAx>
        <c:axId val="106463616"/>
        <c:scaling>
          <c:orientation val="minMax"/>
        </c:scaling>
        <c:axPos val="l"/>
        <c:majorGridlines/>
        <c:numFmt formatCode="General" sourceLinked="1"/>
        <c:tickLblPos val="nextTo"/>
        <c:crossAx val="10644953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338667</xdr:colOff>
      <xdr:row>23</xdr:row>
      <xdr:rowOff>105834</xdr:rowOff>
    </xdr:from>
    <xdr:to>
      <xdr:col>38</xdr:col>
      <xdr:colOff>338667</xdr:colOff>
      <xdr:row>37</xdr:row>
      <xdr:rowOff>179917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620826</xdr:colOff>
      <xdr:row>47</xdr:row>
      <xdr:rowOff>187098</xdr:rowOff>
    </xdr:from>
    <xdr:to>
      <xdr:col>38</xdr:col>
      <xdr:colOff>620826</xdr:colOff>
      <xdr:row>62</xdr:row>
      <xdr:rowOff>78241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739889</xdr:colOff>
      <xdr:row>70</xdr:row>
      <xdr:rowOff>130969</xdr:rowOff>
    </xdr:from>
    <xdr:to>
      <xdr:col>38</xdr:col>
      <xdr:colOff>739889</xdr:colOff>
      <xdr:row>85</xdr:row>
      <xdr:rowOff>22112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11906</xdr:colOff>
      <xdr:row>23</xdr:row>
      <xdr:rowOff>178595</xdr:rowOff>
    </xdr:from>
    <xdr:to>
      <xdr:col>45</xdr:col>
      <xdr:colOff>11906</xdr:colOff>
      <xdr:row>38</xdr:row>
      <xdr:rowOff>62178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0</xdr:colOff>
      <xdr:row>48</xdr:row>
      <xdr:rowOff>0</xdr:rowOff>
    </xdr:from>
    <xdr:to>
      <xdr:col>46</xdr:col>
      <xdr:colOff>0</xdr:colOff>
      <xdr:row>62</xdr:row>
      <xdr:rowOff>81643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619125</xdr:colOff>
      <xdr:row>70</xdr:row>
      <xdr:rowOff>142875</xdr:rowOff>
    </xdr:from>
    <xdr:to>
      <xdr:col>45</xdr:col>
      <xdr:colOff>619125</xdr:colOff>
      <xdr:row>85</xdr:row>
      <xdr:rowOff>34018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07"/>
  <sheetViews>
    <sheetView tabSelected="1" zoomScale="80" zoomScaleNormal="80" workbookViewId="0">
      <pane ySplit="11280" topLeftCell="A94"/>
      <selection activeCell="E12" sqref="E12"/>
      <selection pane="bottomLeft" activeCell="V108" sqref="V108"/>
    </sheetView>
  </sheetViews>
  <sheetFormatPr baseColWidth="10" defaultRowHeight="15"/>
  <cols>
    <col min="2" max="2" width="18.7109375" customWidth="1"/>
    <col min="3" max="3" width="37.42578125" customWidth="1"/>
    <col min="4" max="4" width="15.140625" customWidth="1"/>
    <col min="5" max="5" width="12.7109375" bestFit="1" customWidth="1"/>
    <col min="6" max="6" width="15.140625" customWidth="1"/>
    <col min="7" max="7" width="12.7109375" bestFit="1" customWidth="1"/>
    <col min="8" max="8" width="15" customWidth="1"/>
    <col min="9" max="9" width="11.42578125" customWidth="1"/>
    <col min="10" max="10" width="11" customWidth="1"/>
    <col min="11" max="11" width="13.140625" customWidth="1"/>
    <col min="12" max="12" width="13.28515625" customWidth="1"/>
    <col min="13" max="13" width="15.42578125" customWidth="1"/>
    <col min="14" max="14" width="14.42578125" hidden="1" customWidth="1"/>
    <col min="17" max="17" width="15.85546875" customWidth="1"/>
    <col min="21" max="21" width="9.85546875" customWidth="1"/>
    <col min="23" max="23" width="15" customWidth="1"/>
  </cols>
  <sheetData>
    <row r="1" spans="3:21">
      <c r="C1" s="37"/>
      <c r="D1" s="37"/>
      <c r="E1" s="77"/>
      <c r="O1" s="9"/>
      <c r="P1" s="9"/>
    </row>
    <row r="2" spans="3:21">
      <c r="C2" s="38"/>
      <c r="D2" s="37"/>
      <c r="O2" s="9"/>
      <c r="P2" s="9"/>
    </row>
    <row r="3" spans="3:21">
      <c r="C3" s="36"/>
      <c r="D3" s="37"/>
      <c r="O3" s="9"/>
      <c r="P3" s="9"/>
    </row>
    <row r="4" spans="3:21">
      <c r="O4" s="9"/>
      <c r="P4" s="9"/>
    </row>
    <row r="5" spans="3:21">
      <c r="O5" s="9"/>
      <c r="P5" s="9"/>
    </row>
    <row r="6" spans="3:21">
      <c r="G6" t="s">
        <v>51</v>
      </c>
      <c r="H6" s="40">
        <v>5.92</v>
      </c>
      <c r="I6" t="s">
        <v>1</v>
      </c>
      <c r="O6" s="9"/>
      <c r="P6" s="9"/>
    </row>
    <row r="7" spans="3:21">
      <c r="C7" s="6"/>
      <c r="D7" t="s">
        <v>22</v>
      </c>
      <c r="G7" s="61" t="s">
        <v>75</v>
      </c>
      <c r="H7" s="62">
        <v>4.3499999999999996</v>
      </c>
      <c r="I7" s="61" t="s">
        <v>1</v>
      </c>
      <c r="L7" s="9"/>
      <c r="M7" s="9"/>
      <c r="N7" s="9"/>
      <c r="O7" s="9"/>
      <c r="P7" s="9"/>
      <c r="Q7" s="9"/>
      <c r="R7" s="9"/>
      <c r="S7" s="9"/>
      <c r="T7" s="9"/>
      <c r="U7" s="9"/>
    </row>
    <row r="8" spans="3:21">
      <c r="L8" s="9"/>
      <c r="M8" s="9"/>
      <c r="N8" s="9"/>
      <c r="O8" s="9"/>
      <c r="P8" s="9"/>
      <c r="Q8" s="9"/>
      <c r="R8" s="9"/>
      <c r="S8" s="9"/>
      <c r="T8" s="9"/>
      <c r="U8" s="9"/>
    </row>
    <row r="9" spans="3:21">
      <c r="C9" s="77" t="s">
        <v>125</v>
      </c>
      <c r="D9" s="4">
        <f>H7</f>
        <v>4.3499999999999996</v>
      </c>
      <c r="E9" t="s">
        <v>1</v>
      </c>
      <c r="L9" s="9"/>
      <c r="M9" s="9"/>
      <c r="N9" s="9"/>
      <c r="O9" s="9"/>
      <c r="P9" s="9"/>
      <c r="Q9" s="9"/>
      <c r="R9" s="9"/>
      <c r="S9" s="9"/>
      <c r="T9" s="9"/>
      <c r="U9" s="9"/>
    </row>
    <row r="10" spans="3:21">
      <c r="C10" t="s">
        <v>2</v>
      </c>
      <c r="D10" s="4">
        <v>6562.8</v>
      </c>
      <c r="E10" t="s">
        <v>3</v>
      </c>
    </row>
    <row r="11" spans="3:21">
      <c r="C11" t="s">
        <v>4</v>
      </c>
      <c r="D11" s="12">
        <v>1</v>
      </c>
      <c r="E11" s="77" t="s">
        <v>132</v>
      </c>
    </row>
    <row r="12" spans="3:21">
      <c r="C12" t="s">
        <v>48</v>
      </c>
      <c r="D12" s="49">
        <f>N12</f>
        <v>51.863889704208965</v>
      </c>
      <c r="E12" t="s">
        <v>5</v>
      </c>
      <c r="F12" t="s">
        <v>42</v>
      </c>
      <c r="H12" t="s">
        <v>43</v>
      </c>
      <c r="I12" s="51">
        <v>15.59</v>
      </c>
      <c r="J12" t="s">
        <v>44</v>
      </c>
      <c r="K12" s="40">
        <v>3.92</v>
      </c>
      <c r="L12" t="s">
        <v>45</v>
      </c>
      <c r="M12" t="s">
        <v>46</v>
      </c>
      <c r="N12" s="5">
        <f>K12/(I12*PI()/(3.6*180))</f>
        <v>51.863889704208965</v>
      </c>
      <c r="P12" t="s">
        <v>47</v>
      </c>
    </row>
    <row r="13" spans="3:21">
      <c r="C13" t="s">
        <v>49</v>
      </c>
      <c r="D13" s="49">
        <f>N13</f>
        <v>82.898007670251886</v>
      </c>
      <c r="E13" t="s">
        <v>5</v>
      </c>
      <c r="H13" t="s">
        <v>43</v>
      </c>
      <c r="I13" s="51">
        <v>14.73</v>
      </c>
      <c r="J13" t="s">
        <v>44</v>
      </c>
      <c r="K13" s="40">
        <v>5.92</v>
      </c>
      <c r="L13" t="s">
        <v>45</v>
      </c>
      <c r="M13" t="s">
        <v>51</v>
      </c>
      <c r="N13" s="5">
        <f>K13/(I13*PI()/(3.6*180))</f>
        <v>82.898007670251886</v>
      </c>
      <c r="P13" t="s">
        <v>52</v>
      </c>
    </row>
    <row r="14" spans="3:21">
      <c r="C14" t="s">
        <v>72</v>
      </c>
      <c r="D14" s="49">
        <f>N14</f>
        <v>132.5200722549163</v>
      </c>
      <c r="I14" s="51">
        <v>9.2143599999999992</v>
      </c>
      <c r="J14" t="s">
        <v>73</v>
      </c>
      <c r="K14" s="60">
        <f>H6</f>
        <v>5.92</v>
      </c>
      <c r="L14" t="s">
        <v>45</v>
      </c>
      <c r="M14" t="s">
        <v>51</v>
      </c>
      <c r="N14" s="5">
        <f t="shared" ref="N14:N15" si="0">K14/(I14*PI()/(3.6*180))</f>
        <v>132.5200722549163</v>
      </c>
      <c r="P14" t="s">
        <v>47</v>
      </c>
    </row>
    <row r="15" spans="3:21">
      <c r="C15" t="s">
        <v>74</v>
      </c>
      <c r="D15" s="49">
        <f>N15</f>
        <v>132.5200722549163</v>
      </c>
      <c r="I15" s="63">
        <f>I14*H7/H6</f>
        <v>6.7706868243243239</v>
      </c>
      <c r="J15" s="61" t="s">
        <v>73</v>
      </c>
      <c r="K15" s="64">
        <f>H7</f>
        <v>4.3499999999999996</v>
      </c>
      <c r="L15" t="s">
        <v>45</v>
      </c>
      <c r="M15" t="s">
        <v>76</v>
      </c>
      <c r="N15" s="5">
        <f t="shared" si="0"/>
        <v>132.5200722549163</v>
      </c>
      <c r="P15" t="s">
        <v>77</v>
      </c>
    </row>
    <row r="16" spans="3:21">
      <c r="C16" t="s">
        <v>50</v>
      </c>
      <c r="D16" s="49">
        <f>N16</f>
        <v>154.09911196657475</v>
      </c>
      <c r="E16" t="s">
        <v>5</v>
      </c>
      <c r="H16" t="s">
        <v>43</v>
      </c>
      <c r="I16" s="51">
        <v>5.2469999999999999</v>
      </c>
      <c r="J16" t="s">
        <v>44</v>
      </c>
      <c r="K16" s="40">
        <v>3.92</v>
      </c>
      <c r="L16" t="s">
        <v>45</v>
      </c>
      <c r="M16" t="s">
        <v>46</v>
      </c>
      <c r="N16" s="5">
        <f>K16/(I16*PI()/(3.6*180))</f>
        <v>154.09911196657475</v>
      </c>
      <c r="P16" t="s">
        <v>47</v>
      </c>
    </row>
    <row r="17" spans="1:40">
      <c r="D17" s="14"/>
    </row>
    <row r="18" spans="1:40">
      <c r="C18" s="9"/>
      <c r="D18" s="49"/>
      <c r="E18" s="69"/>
      <c r="F18" s="9"/>
      <c r="G18" s="9"/>
      <c r="H18" s="9"/>
      <c r="I18" s="9"/>
      <c r="J18" s="9"/>
      <c r="K18" s="9"/>
      <c r="L18" s="9"/>
      <c r="M18" s="9"/>
      <c r="N18" s="9"/>
    </row>
    <row r="19" spans="1:40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40">
      <c r="A20" s="73"/>
      <c r="C20" s="9"/>
      <c r="D20" s="9"/>
      <c r="E20" s="9"/>
      <c r="F20" s="9"/>
      <c r="G20" s="46"/>
      <c r="H20" s="9"/>
      <c r="I20" s="9"/>
      <c r="J20" s="9"/>
      <c r="K20" s="44"/>
      <c r="L20" s="9"/>
      <c r="M20" s="9"/>
      <c r="N20" s="9"/>
      <c r="P20" s="9"/>
      <c r="Q20" s="9"/>
      <c r="R20" s="9"/>
      <c r="S20" s="9"/>
      <c r="T20" s="9"/>
      <c r="U20" s="9"/>
      <c r="V20" s="9"/>
    </row>
    <row r="21" spans="1:40">
      <c r="C21" t="s">
        <v>30</v>
      </c>
      <c r="D21" t="s">
        <v>39</v>
      </c>
      <c r="F21" s="9"/>
    </row>
    <row r="22" spans="1:40">
      <c r="A22" s="40">
        <v>7650</v>
      </c>
      <c r="B22" s="45">
        <v>46046</v>
      </c>
      <c r="C22" s="67">
        <f>D15</f>
        <v>132.5200722549163</v>
      </c>
      <c r="D22" s="4">
        <v>1.8</v>
      </c>
      <c r="E22" s="40" t="s">
        <v>41</v>
      </c>
      <c r="F22" s="40" t="s">
        <v>81</v>
      </c>
      <c r="G22" s="40" t="s">
        <v>29</v>
      </c>
      <c r="H22" s="40" t="s">
        <v>69</v>
      </c>
      <c r="I22" s="28"/>
      <c r="J22" s="9"/>
    </row>
    <row r="23" spans="1:40">
      <c r="C23" s="24" t="s">
        <v>128</v>
      </c>
      <c r="D23" s="24"/>
      <c r="E23" s="24"/>
      <c r="F23" s="24"/>
      <c r="G23" s="24"/>
      <c r="H23" s="31"/>
      <c r="I23" s="24"/>
      <c r="J23" s="24"/>
      <c r="K23" s="24"/>
      <c r="L23" s="25"/>
      <c r="M23" s="25"/>
      <c r="N23" s="25"/>
      <c r="P23" s="6" t="s">
        <v>10</v>
      </c>
      <c r="Q23" s="6"/>
      <c r="R23" s="6"/>
      <c r="S23" s="6"/>
      <c r="T23" s="6"/>
      <c r="AH23" s="77" t="s">
        <v>126</v>
      </c>
      <c r="AN23" s="77" t="s">
        <v>127</v>
      </c>
    </row>
    <row r="24" spans="1:40">
      <c r="A24" s="74"/>
      <c r="C24" s="24" t="s">
        <v>129</v>
      </c>
      <c r="D24" s="24"/>
      <c r="E24" s="24"/>
      <c r="F24" s="24"/>
      <c r="G24" s="24"/>
      <c r="H24" s="31"/>
      <c r="I24" s="24"/>
      <c r="J24" s="24"/>
      <c r="K24" s="24"/>
      <c r="L24" s="25"/>
      <c r="M24" s="25"/>
      <c r="N24" s="25"/>
    </row>
    <row r="25" spans="1:40">
      <c r="C25" s="9"/>
      <c r="D25" s="2" t="s">
        <v>9</v>
      </c>
      <c r="E25" s="2" t="s">
        <v>9</v>
      </c>
      <c r="F25" s="2" t="s">
        <v>9</v>
      </c>
      <c r="G25" s="2" t="s">
        <v>9</v>
      </c>
      <c r="H25" s="2" t="s">
        <v>9</v>
      </c>
      <c r="I25" s="2" t="s">
        <v>9</v>
      </c>
      <c r="J25" s="2" t="s">
        <v>6</v>
      </c>
      <c r="K25" s="2" t="s">
        <v>8</v>
      </c>
      <c r="L25" s="30" t="s">
        <v>54</v>
      </c>
      <c r="M25" s="30" t="s">
        <v>33</v>
      </c>
      <c r="N25" s="30"/>
    </row>
    <row r="26" spans="1:40">
      <c r="C26" s="56" t="s">
        <v>60</v>
      </c>
      <c r="D26" s="4">
        <v>3857</v>
      </c>
      <c r="E26" s="4"/>
      <c r="F26" s="4">
        <v>4398</v>
      </c>
      <c r="G26" s="4"/>
      <c r="H26" s="3">
        <f>0.5*SUM(D26,F26)</f>
        <v>4127.5</v>
      </c>
      <c r="I26" s="3">
        <f>(F26-D26)/2</f>
        <v>270.5</v>
      </c>
      <c r="J26" s="3">
        <f>I26*$D$9</f>
        <v>1176.675</v>
      </c>
      <c r="K26" s="10">
        <f>J26/($C$22*1000)</f>
        <v>8.8792209359540783E-3</v>
      </c>
      <c r="L26" s="20">
        <f>180*K26/PI()</f>
        <v>0.50874188499436934</v>
      </c>
      <c r="M26" s="59">
        <f>L26^2</f>
        <v>0.25881830554762414</v>
      </c>
      <c r="N26" s="2"/>
      <c r="AD26" s="77" t="s">
        <v>30</v>
      </c>
      <c r="AE26" s="5">
        <f>$C$22*1000</f>
        <v>132520.0722549163</v>
      </c>
      <c r="AF26" s="77"/>
    </row>
    <row r="27" spans="1:40">
      <c r="C27" s="9"/>
      <c r="D27" s="57" t="s">
        <v>63</v>
      </c>
      <c r="E27" s="57"/>
      <c r="F27" s="58" t="s">
        <v>64</v>
      </c>
      <c r="G27" s="57"/>
      <c r="H27" s="39"/>
      <c r="I27" s="9"/>
      <c r="J27" s="9"/>
      <c r="K27" s="9"/>
      <c r="L27" s="30" t="s">
        <v>65</v>
      </c>
      <c r="M27" s="30"/>
      <c r="N27" s="30"/>
      <c r="AD27" s="77"/>
      <c r="AE27" s="77"/>
      <c r="AF27" s="77"/>
    </row>
    <row r="28" spans="1:40">
      <c r="D28" s="2" t="s">
        <v>62</v>
      </c>
      <c r="E28" s="2" t="s">
        <v>56</v>
      </c>
      <c r="F28" s="2" t="s">
        <v>66</v>
      </c>
      <c r="G28" s="2" t="s">
        <v>57</v>
      </c>
      <c r="H28" s="2" t="s">
        <v>58</v>
      </c>
      <c r="I28" s="2" t="s">
        <v>59</v>
      </c>
      <c r="J28" s="2" t="s">
        <v>59</v>
      </c>
      <c r="K28" s="2" t="s">
        <v>59</v>
      </c>
      <c r="L28" s="2" t="s">
        <v>14</v>
      </c>
      <c r="M28" s="2"/>
      <c r="N28" s="2"/>
      <c r="P28" s="2" t="s">
        <v>26</v>
      </c>
      <c r="Q28" s="2" t="s">
        <v>23</v>
      </c>
      <c r="R28" s="2" t="s">
        <v>11</v>
      </c>
      <c r="S28" s="2" t="s">
        <v>12</v>
      </c>
      <c r="T28" s="2" t="s">
        <v>13</v>
      </c>
      <c r="U28" s="2" t="s">
        <v>11</v>
      </c>
      <c r="V28" s="2" t="s">
        <v>12</v>
      </c>
      <c r="W28" s="2" t="s">
        <v>55</v>
      </c>
      <c r="AC28" s="77" t="s">
        <v>120</v>
      </c>
      <c r="AD28" s="77" t="s">
        <v>118</v>
      </c>
      <c r="AE28" s="77" t="s">
        <v>119</v>
      </c>
      <c r="AF28" s="77"/>
    </row>
    <row r="29" spans="1:40">
      <c r="C29" s="24" t="s">
        <v>61</v>
      </c>
      <c r="D29" s="2" t="s">
        <v>0</v>
      </c>
      <c r="E29" s="2" t="s">
        <v>0</v>
      </c>
      <c r="F29" s="2" t="s">
        <v>0</v>
      </c>
      <c r="G29" s="2" t="s">
        <v>0</v>
      </c>
      <c r="H29" s="2" t="s">
        <v>9</v>
      </c>
      <c r="I29" s="2" t="s">
        <v>0</v>
      </c>
      <c r="J29" s="2" t="s">
        <v>6</v>
      </c>
      <c r="K29" s="2" t="s">
        <v>8</v>
      </c>
      <c r="L29" s="2" t="s">
        <v>19</v>
      </c>
      <c r="M29" s="2" t="s">
        <v>24</v>
      </c>
      <c r="N29" s="2" t="s">
        <v>55</v>
      </c>
      <c r="P29" s="2" t="s">
        <v>9</v>
      </c>
      <c r="Q29" s="2" t="s">
        <v>8</v>
      </c>
      <c r="R29" s="2" t="s">
        <v>8</v>
      </c>
      <c r="S29" s="2" t="s">
        <v>8</v>
      </c>
      <c r="T29" s="2" t="s">
        <v>19</v>
      </c>
      <c r="U29" s="2" t="s">
        <v>24</v>
      </c>
      <c r="V29" s="2" t="s">
        <v>24</v>
      </c>
      <c r="Y29" s="73" t="s">
        <v>82</v>
      </c>
      <c r="Z29" s="73" t="s">
        <v>83</v>
      </c>
      <c r="AA29" s="73" t="s">
        <v>23</v>
      </c>
      <c r="AC29">
        <v>0</v>
      </c>
      <c r="AD29" s="1">
        <f>J26*2</f>
        <v>2353.35</v>
      </c>
      <c r="AE29" s="78">
        <f>AD29/(2*$AE$26)</f>
        <v>8.8792209359540783E-3</v>
      </c>
      <c r="AF29" s="77">
        <f>1/SQRT(1+AE29^2)</f>
        <v>0.99996058204857019</v>
      </c>
    </row>
    <row r="30" spans="1:40">
      <c r="C30" s="24">
        <v>1</v>
      </c>
      <c r="D30" s="66">
        <f t="shared" ref="D30:E30" si="1">Z34</f>
        <v>2395.14</v>
      </c>
      <c r="E30" s="66">
        <f t="shared" si="1"/>
        <v>27.434100000000001</v>
      </c>
      <c r="F30" s="66">
        <v>5870.21</v>
      </c>
      <c r="G30" s="66">
        <v>27.598700000000001</v>
      </c>
      <c r="H30" s="3">
        <f>0.5*SUM(D30,F30)</f>
        <v>4132.6750000000002</v>
      </c>
      <c r="I30" s="3">
        <f>(F30-D30)/2</f>
        <v>1737.5350000000001</v>
      </c>
      <c r="J30" s="3">
        <f>I30*$D$9</f>
        <v>7558.2772500000001</v>
      </c>
      <c r="K30" s="10">
        <f t="shared" ref="K30:K34" si="2">J30/($C$22*1000)</f>
        <v>5.7034961733652384E-2</v>
      </c>
      <c r="L30" s="8"/>
      <c r="M30" s="20">
        <f>1/(1+K30^2)</f>
        <v>0.99675756075230781</v>
      </c>
      <c r="N30" s="20"/>
      <c r="P30" s="18">
        <f t="shared" ref="P30:P34" si="3">AVERAGE(E30,G30)</f>
        <v>27.516400000000001</v>
      </c>
      <c r="Q30" s="10">
        <f>P30*$D$9/(C$22*1000)</f>
        <v>9.0323177435152225E-4</v>
      </c>
      <c r="R30" s="7">
        <f>K30+0.5*Q30</f>
        <v>5.7486577620828143E-2</v>
      </c>
      <c r="S30" s="7">
        <f>K30-0.5*Q30</f>
        <v>5.6583345846476625E-2</v>
      </c>
      <c r="T30" s="11">
        <f>R30^2-S30^2</f>
        <v>1.030315793735157E-4</v>
      </c>
      <c r="U30" s="20">
        <f>1/(1+R30^2)</f>
        <v>0.99670617850709298</v>
      </c>
      <c r="V30" s="20">
        <f>1/(1+S30^2)</f>
        <v>0.99680854298105592</v>
      </c>
      <c r="W30" s="26">
        <f>V30-U30</f>
        <v>1.023644739629459E-4</v>
      </c>
      <c r="Y30" s="73" t="s">
        <v>84</v>
      </c>
      <c r="Z30" s="9">
        <v>254.678</v>
      </c>
      <c r="AA30" s="9">
        <v>13.404999999999999</v>
      </c>
      <c r="AC30">
        <f>1+AC29</f>
        <v>1</v>
      </c>
      <c r="AD30" s="1">
        <f>J30*2</f>
        <v>15116.5545</v>
      </c>
      <c r="AE30" s="78">
        <f t="shared" ref="AE30:AE34" si="4">AD30/(2*$AE$26)</f>
        <v>5.7034961733652384E-2</v>
      </c>
      <c r="AF30" s="77">
        <f t="shared" ref="AF30:AF34" si="5">1/SQRT(1+AE30^2)</f>
        <v>0.99837746406472316</v>
      </c>
    </row>
    <row r="31" spans="1:40">
      <c r="C31" s="24">
        <v>2</v>
      </c>
      <c r="D31" s="66">
        <v>1685.53</v>
      </c>
      <c r="E31" s="66">
        <v>20.0168</v>
      </c>
      <c r="F31" s="66">
        <v>6580.44</v>
      </c>
      <c r="G31" s="66">
        <v>18.951000000000001</v>
      </c>
      <c r="H31" s="3">
        <f>0.5*SUM(D31,F31)</f>
        <v>4132.9849999999997</v>
      </c>
      <c r="I31" s="3">
        <f>(F31-D31)/2</f>
        <v>2447.4549999999999</v>
      </c>
      <c r="J31" s="3">
        <f>I31*$D$9</f>
        <v>10646.429249999999</v>
      </c>
      <c r="K31" s="10">
        <f t="shared" si="2"/>
        <v>8.0338239097247646E-2</v>
      </c>
      <c r="L31" s="8">
        <f>K31^2-K30^2</f>
        <v>3.2012458012873387E-3</v>
      </c>
      <c r="M31" s="20">
        <f t="shared" ref="M31:M34" si="6">1/(1+K31^2)</f>
        <v>0.99358715731744673</v>
      </c>
      <c r="N31" s="55">
        <f>M30-M31</f>
        <v>3.1704034348610799E-3</v>
      </c>
      <c r="P31" s="18">
        <f>AVERAGE(E31,G31)</f>
        <v>19.483899999999998</v>
      </c>
      <c r="Q31" s="10">
        <f>P31*$D$9/(C$22*1000)</f>
        <v>6.3956322659532584E-4</v>
      </c>
      <c r="R31" s="7">
        <f>K31+0.5*Q31</f>
        <v>8.0658020710545314E-2</v>
      </c>
      <c r="S31" s="7">
        <f>K31-0.5*Q31</f>
        <v>8.0018457483949978E-2</v>
      </c>
      <c r="T31" s="11">
        <f t="shared" ref="T31:T34" si="7">R31^2-S31^2</f>
        <v>1.0276276683204681E-4</v>
      </c>
      <c r="U31" s="20">
        <f t="shared" ref="U31:U34" si="8">1/(1+R31^2)</f>
        <v>0.99353633446929013</v>
      </c>
      <c r="V31" s="20">
        <f t="shared" ref="V31:V34" si="9">1/(1+S31^2)</f>
        <v>0.99363778343892928</v>
      </c>
      <c r="W31" s="26">
        <f t="shared" ref="W31:W34" si="10">V31-U31</f>
        <v>1.0144896963915073E-4</v>
      </c>
      <c r="Y31" s="73" t="s">
        <v>85</v>
      </c>
      <c r="Z31" s="9">
        <v>668.798</v>
      </c>
      <c r="AA31" s="9">
        <v>15.2842</v>
      </c>
      <c r="AC31" s="77">
        <f t="shared" ref="AC31:AC34" si="11">1+AC30</f>
        <v>2</v>
      </c>
      <c r="AD31" s="1">
        <f t="shared" ref="AD31:AD34" si="12">J31*2</f>
        <v>21292.858499999998</v>
      </c>
      <c r="AE31" s="78">
        <f t="shared" si="4"/>
        <v>8.0338239097247646E-2</v>
      </c>
      <c r="AF31" s="77">
        <f t="shared" si="5"/>
        <v>0.99678842154062297</v>
      </c>
    </row>
    <row r="32" spans="1:40">
      <c r="C32" s="24">
        <v>3</v>
      </c>
      <c r="D32" s="66">
        <v>1135.72</v>
      </c>
      <c r="E32" s="66">
        <v>16.876899999999999</v>
      </c>
      <c r="F32" s="66">
        <v>7130.66</v>
      </c>
      <c r="G32" s="66">
        <v>15.5387</v>
      </c>
      <c r="H32" s="3">
        <f>0.5*SUM(D32,F32)</f>
        <v>4133.1899999999996</v>
      </c>
      <c r="I32" s="3">
        <f>(F32-D32)/2</f>
        <v>2997.47</v>
      </c>
      <c r="J32" s="3">
        <f>I32*$D$9</f>
        <v>13038.994499999999</v>
      </c>
      <c r="K32" s="10">
        <f t="shared" si="2"/>
        <v>9.8392600291660887E-2</v>
      </c>
      <c r="L32" s="8">
        <f t="shared" ref="L32:L34" si="13">K32^2-K31^2</f>
        <v>3.2268711309080163E-3</v>
      </c>
      <c r="M32" s="20">
        <f t="shared" si="6"/>
        <v>0.99041172132884903</v>
      </c>
      <c r="N32" s="55">
        <f t="shared" ref="N32:N34" si="14">M31-M32</f>
        <v>3.1754359885977079E-3</v>
      </c>
      <c r="P32" s="18">
        <f t="shared" si="3"/>
        <v>16.207799999999999</v>
      </c>
      <c r="Q32" s="10">
        <f>P32*$D$9/(C$22*1000)</f>
        <v>5.320245363613918E-4</v>
      </c>
      <c r="R32" s="7">
        <f>K32+0.5*Q32</f>
        <v>9.8658612559841583E-2</v>
      </c>
      <c r="S32" s="7">
        <f>K32-0.5*Q32</f>
        <v>9.8126588023480191E-2</v>
      </c>
      <c r="T32" s="11">
        <f t="shared" si="7"/>
        <v>1.0469455510312559E-4</v>
      </c>
      <c r="U32" s="20">
        <f t="shared" si="8"/>
        <v>0.99036030633649674</v>
      </c>
      <c r="V32" s="20">
        <f t="shared" si="9"/>
        <v>0.99046300282144495</v>
      </c>
      <c r="W32" s="26">
        <f t="shared" si="10"/>
        <v>1.0269648494820593E-4</v>
      </c>
      <c r="Y32" s="73" t="s">
        <v>86</v>
      </c>
      <c r="Z32" s="9">
        <v>1135.72</v>
      </c>
      <c r="AA32" s="9">
        <v>16.876899999999999</v>
      </c>
      <c r="AC32" s="77">
        <f t="shared" si="11"/>
        <v>3</v>
      </c>
      <c r="AD32" s="1">
        <f t="shared" si="12"/>
        <v>26077.988999999998</v>
      </c>
      <c r="AE32" s="78">
        <f t="shared" si="4"/>
        <v>9.8392600291660887E-2</v>
      </c>
      <c r="AF32" s="77">
        <f t="shared" si="5"/>
        <v>0.99519431335234687</v>
      </c>
    </row>
    <row r="33" spans="1:41">
      <c r="C33" s="24">
        <v>4</v>
      </c>
      <c r="D33" s="66">
        <v>668.798</v>
      </c>
      <c r="E33" s="66">
        <v>15.2842</v>
      </c>
      <c r="F33" s="66">
        <v>7597.71</v>
      </c>
      <c r="G33" s="66">
        <v>13.7331</v>
      </c>
      <c r="H33" s="29">
        <f>0.5*SUM(D33,F33)</f>
        <v>4133.2539999999999</v>
      </c>
      <c r="I33" s="3">
        <f>(F33-D33)/2</f>
        <v>3464.4560000000001</v>
      </c>
      <c r="J33" s="3">
        <f>I33*$D$9</f>
        <v>15070.383599999999</v>
      </c>
      <c r="K33" s="10">
        <f t="shared" si="2"/>
        <v>0.11372151662436865</v>
      </c>
      <c r="L33" s="8">
        <f t="shared" si="13"/>
        <v>3.2514795511920085E-3</v>
      </c>
      <c r="M33" s="20">
        <f t="shared" si="6"/>
        <v>0.98723253298787128</v>
      </c>
      <c r="N33" s="55">
        <f t="shared" si="14"/>
        <v>3.1791883409777455E-3</v>
      </c>
      <c r="P33" s="18">
        <f t="shared" si="3"/>
        <v>14.508649999999999</v>
      </c>
      <c r="Q33" s="10">
        <f>P33*$D$9/(C$22*1000)</f>
        <v>4.762495705450282E-4</v>
      </c>
      <c r="R33" s="7">
        <f>K33+0.5*Q33</f>
        <v>0.11395964140964117</v>
      </c>
      <c r="S33" s="7">
        <f>K33-0.5*Q33</f>
        <v>0.11348339183909613</v>
      </c>
      <c r="T33" s="11">
        <f t="shared" si="7"/>
        <v>1.0831964690817195E-4</v>
      </c>
      <c r="U33" s="20">
        <f t="shared" si="8"/>
        <v>0.98717969486682566</v>
      </c>
      <c r="V33" s="20">
        <f t="shared" si="9"/>
        <v>0.9872852662241709</v>
      </c>
      <c r="W33" s="26">
        <f t="shared" si="10"/>
        <v>1.0557135734523548E-4</v>
      </c>
      <c r="Y33" s="73" t="s">
        <v>87</v>
      </c>
      <c r="Z33" s="9">
        <v>1685.53</v>
      </c>
      <c r="AA33" s="9">
        <v>20.0168</v>
      </c>
      <c r="AC33" s="77">
        <f t="shared" si="11"/>
        <v>4</v>
      </c>
      <c r="AD33" s="1">
        <f t="shared" si="12"/>
        <v>30140.767199999998</v>
      </c>
      <c r="AE33" s="78">
        <f t="shared" si="4"/>
        <v>0.11372151662436865</v>
      </c>
      <c r="AF33" s="77">
        <f t="shared" si="5"/>
        <v>0.99359575934475053</v>
      </c>
    </row>
    <row r="34" spans="1:41">
      <c r="C34" s="24">
        <v>5</v>
      </c>
      <c r="D34" s="66">
        <v>254.678</v>
      </c>
      <c r="E34" s="66">
        <v>13.404999999999999</v>
      </c>
      <c r="F34" s="66">
        <v>8011.62</v>
      </c>
      <c r="G34" s="66">
        <v>10.9687</v>
      </c>
      <c r="H34" s="3">
        <f>0.5*SUM(D34,F34)</f>
        <v>4133.1490000000003</v>
      </c>
      <c r="I34" s="3">
        <f>(F34-D34)/2</f>
        <v>3878.471</v>
      </c>
      <c r="J34" s="3">
        <f>I34*$D$9</f>
        <v>16871.348849999998</v>
      </c>
      <c r="K34" s="10">
        <f t="shared" si="2"/>
        <v>0.12731164843878279</v>
      </c>
      <c r="L34" s="8">
        <f t="shared" si="13"/>
        <v>3.2756724848536697E-3</v>
      </c>
      <c r="M34" s="20">
        <f t="shared" si="6"/>
        <v>0.98405026161198561</v>
      </c>
      <c r="N34" s="55">
        <f t="shared" si="14"/>
        <v>3.1822713758856702E-3</v>
      </c>
      <c r="P34" s="18">
        <f t="shared" si="3"/>
        <v>12.18685</v>
      </c>
      <c r="Q34" s="10">
        <f>P34*$D$9/(C$22*1000)</f>
        <v>4.0003598396795548E-4</v>
      </c>
      <c r="R34" s="7">
        <f>K34+0.5*Q34</f>
        <v>0.12751166643076675</v>
      </c>
      <c r="S34" s="7">
        <f>K34-0.5*Q34</f>
        <v>0.12711163044679882</v>
      </c>
      <c r="T34" s="11">
        <f t="shared" si="7"/>
        <v>1.018584811075772E-4</v>
      </c>
      <c r="U34" s="20">
        <f t="shared" si="8"/>
        <v>0.98400090776569715</v>
      </c>
      <c r="V34" s="20">
        <f t="shared" si="9"/>
        <v>0.98409954291923596</v>
      </c>
      <c r="W34" s="26">
        <f t="shared" si="10"/>
        <v>9.8635153538806364E-5</v>
      </c>
      <c r="Y34" s="73" t="s">
        <v>88</v>
      </c>
      <c r="Z34" s="72">
        <v>2395.14</v>
      </c>
      <c r="AA34" s="72">
        <v>27.434100000000001</v>
      </c>
      <c r="AC34" s="77">
        <f t="shared" si="11"/>
        <v>5</v>
      </c>
      <c r="AD34" s="1">
        <f t="shared" si="12"/>
        <v>33742.697699999997</v>
      </c>
      <c r="AE34" s="78">
        <f t="shared" si="4"/>
        <v>0.12731164843878279</v>
      </c>
      <c r="AF34" s="77">
        <f t="shared" si="5"/>
        <v>0.99199307538509851</v>
      </c>
    </row>
    <row r="35" spans="1:41">
      <c r="D35" s="14"/>
      <c r="E35" s="14"/>
      <c r="F35" s="14"/>
      <c r="G35" s="14"/>
      <c r="H35" s="3"/>
      <c r="I35" s="3"/>
      <c r="J35" s="3"/>
      <c r="K35" s="10"/>
      <c r="L35" s="8"/>
      <c r="M35" s="8"/>
      <c r="N35" s="8"/>
      <c r="P35" s="2"/>
      <c r="Q35" s="2"/>
      <c r="R35" s="7"/>
      <c r="S35" s="7"/>
      <c r="T35" s="11"/>
      <c r="U35" s="17"/>
      <c r="Y35" s="73" t="s">
        <v>89</v>
      </c>
      <c r="Z35" s="72">
        <v>5870.21</v>
      </c>
      <c r="AA35" s="72">
        <v>27.598700000000001</v>
      </c>
    </row>
    <row r="36" spans="1:41">
      <c r="C36" t="s">
        <v>67</v>
      </c>
      <c r="L36" s="8">
        <f>AVERAGE(L31:L34)</f>
        <v>3.2388172420602583E-3</v>
      </c>
      <c r="M36" s="8"/>
      <c r="N36" s="8">
        <f>AVERAGE(N31:N34)</f>
        <v>3.1768247850805509E-3</v>
      </c>
      <c r="O36" s="2"/>
      <c r="P36" t="s">
        <v>68</v>
      </c>
      <c r="R36" s="1"/>
      <c r="S36" s="2"/>
      <c r="T36" s="11">
        <f>AVERAGE(T30:T34)</f>
        <v>1.0413340586488745E-4</v>
      </c>
      <c r="U36" s="11"/>
      <c r="W36" s="21">
        <f>AVERAGE(W30:W34)</f>
        <v>1.0214328788686889E-4</v>
      </c>
      <c r="Y36" s="73" t="s">
        <v>90</v>
      </c>
      <c r="Z36" s="9">
        <v>6580.44</v>
      </c>
      <c r="AA36" s="9">
        <v>18.951000000000001</v>
      </c>
      <c r="AD36" s="77" t="s">
        <v>126</v>
      </c>
    </row>
    <row r="37" spans="1:41">
      <c r="T37" s="2"/>
      <c r="Y37" s="73" t="s">
        <v>91</v>
      </c>
      <c r="Z37" s="9">
        <v>7130.66</v>
      </c>
      <c r="AA37" s="9">
        <v>15.5387</v>
      </c>
      <c r="AD37" s="77" t="s">
        <v>121</v>
      </c>
      <c r="AE37" s="40">
        <v>0.99996898999999995</v>
      </c>
    </row>
    <row r="38" spans="1:41">
      <c r="P38" t="s">
        <v>15</v>
      </c>
      <c r="T38" s="46">
        <f>L36/T36</f>
        <v>31.102576691504808</v>
      </c>
      <c r="W38" s="22">
        <f>N36/W36</f>
        <v>31.101649954709849</v>
      </c>
      <c r="Y38" s="73" t="s">
        <v>92</v>
      </c>
      <c r="Z38" s="9">
        <v>7597.71</v>
      </c>
      <c r="AA38" s="9">
        <v>13.7331</v>
      </c>
      <c r="AD38" s="77" t="s">
        <v>122</v>
      </c>
      <c r="AE38" s="40">
        <v>6562.8</v>
      </c>
    </row>
    <row r="39" spans="1:41">
      <c r="C39" t="s">
        <v>17</v>
      </c>
      <c r="D39" s="13">
        <f>$D$11*$D$10/N36</f>
        <v>2065836.312667019</v>
      </c>
      <c r="E39" t="s">
        <v>3</v>
      </c>
      <c r="T39" s="30"/>
      <c r="Y39" s="73" t="s">
        <v>93</v>
      </c>
      <c r="Z39" s="9">
        <v>8011.62</v>
      </c>
      <c r="AA39" s="9">
        <v>10.9687</v>
      </c>
      <c r="AD39" s="77" t="s">
        <v>123</v>
      </c>
      <c r="AE39" s="5">
        <f>AE38*(1-AE37)</f>
        <v>0.20351242800035108</v>
      </c>
    </row>
    <row r="40" spans="1:41">
      <c r="D40" s="19">
        <f>D39/10^7</f>
        <v>0.2065836312667019</v>
      </c>
      <c r="E40" t="s">
        <v>5</v>
      </c>
      <c r="T40" s="30"/>
    </row>
    <row r="41" spans="1:41">
      <c r="T41" s="30"/>
      <c r="AD41" s="77" t="s">
        <v>127</v>
      </c>
      <c r="AE41" s="77"/>
    </row>
    <row r="42" spans="1:41">
      <c r="C42" t="s">
        <v>7</v>
      </c>
      <c r="D42" s="5">
        <f>$D$10^2/(2*$D$11*D39)</f>
        <v>10.424432849763321</v>
      </c>
      <c r="E42" t="s">
        <v>3</v>
      </c>
      <c r="G42" s="23"/>
      <c r="P42" t="s">
        <v>16</v>
      </c>
      <c r="T42" s="46">
        <f>D42/T38</f>
        <v>0.33516299801008431</v>
      </c>
      <c r="W42" s="27">
        <f>D42/W38</f>
        <v>0.33517298487197161</v>
      </c>
      <c r="AD42" s="77" t="s">
        <v>121</v>
      </c>
      <c r="AE42" s="79">
        <v>0.99997824000000002</v>
      </c>
    </row>
    <row r="43" spans="1:41">
      <c r="AD43" s="77" t="s">
        <v>122</v>
      </c>
      <c r="AE43" s="40">
        <v>6562.8</v>
      </c>
    </row>
    <row r="44" spans="1:41">
      <c r="AD44" s="77" t="s">
        <v>123</v>
      </c>
      <c r="AE44" s="5">
        <f>AE43*(1-AE42)</f>
        <v>0.14280652799988053</v>
      </c>
    </row>
    <row r="45" spans="1:41">
      <c r="C45" t="s">
        <v>30</v>
      </c>
      <c r="D45" t="s">
        <v>39</v>
      </c>
      <c r="F45" s="9"/>
    </row>
    <row r="46" spans="1:41">
      <c r="A46" s="40">
        <v>7660</v>
      </c>
      <c r="B46" s="45">
        <v>46046</v>
      </c>
      <c r="C46" s="49">
        <f>C22</f>
        <v>132.5200722549163</v>
      </c>
      <c r="D46" s="4">
        <v>1.8</v>
      </c>
      <c r="E46" s="40" t="s">
        <v>41</v>
      </c>
      <c r="F46" s="40" t="s">
        <v>104</v>
      </c>
      <c r="G46" s="40" t="s">
        <v>29</v>
      </c>
      <c r="H46" s="40" t="s">
        <v>69</v>
      </c>
      <c r="I46" s="28"/>
      <c r="J46" s="9"/>
    </row>
    <row r="47" spans="1:41">
      <c r="A47" s="74"/>
      <c r="C47" s="24" t="s">
        <v>128</v>
      </c>
      <c r="D47" s="24"/>
      <c r="E47" s="24"/>
      <c r="F47" s="24"/>
      <c r="G47" s="24"/>
      <c r="H47" s="31"/>
      <c r="I47" s="24"/>
      <c r="J47" s="24"/>
      <c r="K47" s="24"/>
      <c r="L47" s="25"/>
      <c r="M47" s="25"/>
      <c r="N47" s="25"/>
      <c r="P47" s="6" t="s">
        <v>10</v>
      </c>
      <c r="Q47" s="6"/>
      <c r="R47" s="6"/>
      <c r="S47" s="6"/>
      <c r="T47" s="6"/>
      <c r="AE47" s="79"/>
      <c r="AH47" s="77" t="s">
        <v>126</v>
      </c>
      <c r="AO47" s="77" t="s">
        <v>127</v>
      </c>
    </row>
    <row r="48" spans="1:41">
      <c r="A48" s="74"/>
      <c r="C48" s="24" t="s">
        <v>129</v>
      </c>
      <c r="D48" s="24"/>
      <c r="E48" s="24"/>
      <c r="F48" s="24"/>
      <c r="G48" s="24"/>
      <c r="H48" s="31"/>
      <c r="I48" s="24"/>
      <c r="J48" s="24"/>
      <c r="K48" s="24"/>
      <c r="L48" s="25"/>
      <c r="M48" s="25"/>
      <c r="N48" s="25"/>
    </row>
    <row r="49" spans="3:32">
      <c r="C49" s="9"/>
      <c r="D49" s="2" t="s">
        <v>0</v>
      </c>
      <c r="E49" s="2" t="s">
        <v>0</v>
      </c>
      <c r="F49" s="2" t="s">
        <v>0</v>
      </c>
      <c r="G49" s="2" t="s">
        <v>0</v>
      </c>
      <c r="H49" s="2" t="s">
        <v>9</v>
      </c>
      <c r="I49" s="2" t="s">
        <v>0</v>
      </c>
      <c r="J49" s="2" t="s">
        <v>6</v>
      </c>
      <c r="K49" s="2" t="s">
        <v>8</v>
      </c>
      <c r="L49" s="30" t="s">
        <v>32</v>
      </c>
      <c r="M49" s="30" t="s">
        <v>33</v>
      </c>
      <c r="N49" s="30"/>
    </row>
    <row r="50" spans="3:32">
      <c r="C50" s="56" t="s">
        <v>60</v>
      </c>
      <c r="D50" s="4"/>
      <c r="E50" s="4"/>
      <c r="F50" s="4"/>
      <c r="G50" s="4"/>
      <c r="H50" s="3">
        <f>0.5*SUM(D50,F50)</f>
        <v>0</v>
      </c>
      <c r="I50" s="3">
        <f>(F50-D50)/2</f>
        <v>0</v>
      </c>
      <c r="J50" s="3">
        <f>I50*$D$9</f>
        <v>0</v>
      </c>
      <c r="K50" s="10">
        <f>J50/($C$22*1000)</f>
        <v>0</v>
      </c>
      <c r="L50" s="20">
        <f>180*K50/PI()</f>
        <v>0</v>
      </c>
      <c r="M50" s="15">
        <f>L50^2</f>
        <v>0</v>
      </c>
      <c r="N50" s="2"/>
    </row>
    <row r="51" spans="3:32">
      <c r="C51" s="9"/>
      <c r="D51" s="57" t="s">
        <v>63</v>
      </c>
      <c r="E51" s="57"/>
      <c r="F51" s="58" t="s">
        <v>64</v>
      </c>
      <c r="G51" s="57"/>
      <c r="H51" s="39"/>
      <c r="I51" s="9"/>
      <c r="J51" s="9"/>
      <c r="K51" s="9"/>
      <c r="L51" s="30" t="s">
        <v>18</v>
      </c>
      <c r="M51" s="30"/>
      <c r="N51" s="30"/>
      <c r="Y51" s="74" t="s">
        <v>82</v>
      </c>
      <c r="Z51" s="74" t="s">
        <v>83</v>
      </c>
      <c r="AA51" s="74" t="s">
        <v>23</v>
      </c>
      <c r="AC51" s="77"/>
      <c r="AD51" s="77"/>
      <c r="AE51" s="77"/>
      <c r="AF51" s="77"/>
    </row>
    <row r="52" spans="3:32">
      <c r="D52" s="2" t="s">
        <v>62</v>
      </c>
      <c r="E52" s="2" t="s">
        <v>56</v>
      </c>
      <c r="F52" s="2" t="s">
        <v>66</v>
      </c>
      <c r="G52" s="2" t="s">
        <v>57</v>
      </c>
      <c r="H52" s="2" t="s">
        <v>58</v>
      </c>
      <c r="I52" s="2" t="s">
        <v>59</v>
      </c>
      <c r="J52" s="2" t="s">
        <v>59</v>
      </c>
      <c r="K52" s="2" t="s">
        <v>59</v>
      </c>
      <c r="L52" s="2" t="s">
        <v>14</v>
      </c>
      <c r="M52" s="2"/>
      <c r="N52" s="2"/>
      <c r="P52" s="2" t="s">
        <v>26</v>
      </c>
      <c r="Q52" s="2" t="s">
        <v>23</v>
      </c>
      <c r="R52" s="2" t="s">
        <v>11</v>
      </c>
      <c r="S52" s="2" t="s">
        <v>12</v>
      </c>
      <c r="T52" s="2" t="s">
        <v>13</v>
      </c>
      <c r="U52" s="2" t="s">
        <v>11</v>
      </c>
      <c r="V52" s="2" t="s">
        <v>12</v>
      </c>
      <c r="W52" s="2" t="s">
        <v>25</v>
      </c>
      <c r="Y52" s="74" t="s">
        <v>94</v>
      </c>
      <c r="Z52" s="74">
        <v>366.67599999999999</v>
      </c>
      <c r="AA52" s="74">
        <v>15.045400000000001</v>
      </c>
      <c r="AC52" s="77" t="s">
        <v>120</v>
      </c>
      <c r="AD52" s="77" t="s">
        <v>118</v>
      </c>
      <c r="AE52" s="77" t="s">
        <v>119</v>
      </c>
      <c r="AF52" s="77"/>
    </row>
    <row r="53" spans="3:32">
      <c r="C53" s="24" t="s">
        <v>61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9</v>
      </c>
      <c r="I53" s="2" t="s">
        <v>0</v>
      </c>
      <c r="J53" s="2" t="s">
        <v>6</v>
      </c>
      <c r="K53" s="2" t="s">
        <v>8</v>
      </c>
      <c r="L53" s="2" t="s">
        <v>19</v>
      </c>
      <c r="M53" s="2" t="s">
        <v>24</v>
      </c>
      <c r="N53" s="2" t="s">
        <v>25</v>
      </c>
      <c r="P53" s="2" t="s">
        <v>0</v>
      </c>
      <c r="Q53" s="2" t="s">
        <v>8</v>
      </c>
      <c r="R53" s="2" t="s">
        <v>8</v>
      </c>
      <c r="S53" s="2" t="s">
        <v>8</v>
      </c>
      <c r="T53" s="2" t="s">
        <v>19</v>
      </c>
      <c r="U53" s="2" t="s">
        <v>24</v>
      </c>
      <c r="V53" s="2" t="s">
        <v>8</v>
      </c>
      <c r="Y53" s="74" t="s">
        <v>95</v>
      </c>
      <c r="Z53" s="74">
        <v>781.49099999999999</v>
      </c>
      <c r="AA53" s="74">
        <v>17.624700000000001</v>
      </c>
      <c r="AC53" s="77">
        <v>0</v>
      </c>
      <c r="AD53" s="1">
        <f>J50*2</f>
        <v>0</v>
      </c>
      <c r="AE53" s="78">
        <f>AD53/(2*$AE$26)</f>
        <v>0</v>
      </c>
      <c r="AF53" s="77">
        <f>1/SQRT(1+AE53^2)</f>
        <v>1</v>
      </c>
    </row>
    <row r="54" spans="3:32">
      <c r="C54" s="24">
        <v>1</v>
      </c>
      <c r="D54" s="66">
        <v>2517.41</v>
      </c>
      <c r="E54" s="66">
        <v>36.0565</v>
      </c>
      <c r="F54" s="66">
        <v>5955.02</v>
      </c>
      <c r="G54" s="66">
        <v>35.137999999999998</v>
      </c>
      <c r="H54" s="3">
        <f>0.5*SUM(D54,F54)</f>
        <v>4236.2150000000001</v>
      </c>
      <c r="I54" s="3">
        <f>(F54-D54)/2</f>
        <v>1718.8050000000003</v>
      </c>
      <c r="J54" s="3">
        <f>I54*$D$9</f>
        <v>7476.8017500000005</v>
      </c>
      <c r="K54" s="10">
        <f t="shared" ref="K54:K58" si="15">J54/($C$22*1000)</f>
        <v>5.6420145437421625E-2</v>
      </c>
      <c r="L54" s="8"/>
      <c r="M54" s="20">
        <f>1/(1+K54^2)</f>
        <v>0.99682686800669551</v>
      </c>
      <c r="N54" s="20"/>
      <c r="P54" s="18">
        <f t="shared" ref="P54:P58" si="16">AVERAGE(E54,G54)</f>
        <v>35.597250000000003</v>
      </c>
      <c r="Q54" s="10">
        <f>P54*$D$9/(C$22*1000)</f>
        <v>1.1684874213027405E-3</v>
      </c>
      <c r="R54" s="7">
        <f>K54+0.5*Q54</f>
        <v>5.7004389148072994E-2</v>
      </c>
      <c r="S54" s="7">
        <f>K54-0.5*Q54</f>
        <v>5.5835901726770255E-2</v>
      </c>
      <c r="T54" s="11">
        <f>R54^2-S54^2</f>
        <v>1.3185246050339671E-4</v>
      </c>
      <c r="U54" s="20">
        <f>1/(1+R54^2)</f>
        <v>0.99676102466942951</v>
      </c>
      <c r="V54" s="20">
        <f>1/(1+S54^2)</f>
        <v>0.99689204159840983</v>
      </c>
      <c r="W54" s="26">
        <f>V54-U54</f>
        <v>1.3101692898032091E-4</v>
      </c>
      <c r="Y54" s="74" t="s">
        <v>96</v>
      </c>
      <c r="Z54" s="74">
        <v>1249.83</v>
      </c>
      <c r="AA54" s="74">
        <v>20.519600000000001</v>
      </c>
      <c r="AC54" s="77">
        <f>1+AC53</f>
        <v>1</v>
      </c>
      <c r="AD54" s="1">
        <f>J54*2</f>
        <v>14953.603500000001</v>
      </c>
      <c r="AE54" s="78">
        <f t="shared" ref="AE54:AE58" si="17">AD54/(2*$AE$26)</f>
        <v>5.6420145437421625E-2</v>
      </c>
      <c r="AF54" s="77">
        <f t="shared" ref="AF54:AF58" si="18">1/SQRT(1+AE54^2)</f>
        <v>0.99841217340670252</v>
      </c>
    </row>
    <row r="55" spans="3:32">
      <c r="C55" s="24">
        <v>2</v>
      </c>
      <c r="D55" s="66">
        <v>1802.2</v>
      </c>
      <c r="E55" s="66">
        <v>25.324300000000001</v>
      </c>
      <c r="F55" s="66">
        <v>6669.76</v>
      </c>
      <c r="G55" s="66">
        <v>23.347999999999999</v>
      </c>
      <c r="H55" s="3">
        <f>0.5*SUM(D55,F55)</f>
        <v>4235.9800000000005</v>
      </c>
      <c r="I55" s="3">
        <f>(F55-D55)/2</f>
        <v>2433.7800000000002</v>
      </c>
      <c r="J55" s="3">
        <f>I55*$D$9</f>
        <v>10586.942999999999</v>
      </c>
      <c r="K55" s="10">
        <f t="shared" si="15"/>
        <v>7.9889354268045526E-2</v>
      </c>
      <c r="L55" s="8">
        <f>K55^2-K54^2</f>
        <v>3.1990761141854761E-3</v>
      </c>
      <c r="M55" s="20">
        <f t="shared" ref="M55:M58" si="19">1/(1+K55^2)</f>
        <v>0.99365816661445461</v>
      </c>
      <c r="N55" s="55">
        <f>M54-M55</f>
        <v>3.1687013922409024E-3</v>
      </c>
      <c r="P55" s="18">
        <f t="shared" si="16"/>
        <v>24.33615</v>
      </c>
      <c r="Q55" s="10">
        <f>P55*$D$9/(C$22*1000)</f>
        <v>7.9883938107400674E-4</v>
      </c>
      <c r="R55" s="7">
        <f>K55+0.5*Q55</f>
        <v>8.0288773958582527E-2</v>
      </c>
      <c r="S55" s="7">
        <f>K55-0.5*Q55</f>
        <v>7.9489934577508525E-2</v>
      </c>
      <c r="T55" s="11">
        <f t="shared" ref="T55:T58" si="20">R55^2-S55^2</f>
        <v>1.2763752463577395E-4</v>
      </c>
      <c r="U55" s="20">
        <f t="shared" ref="U55:U58" si="21">1/(1+R55^2)</f>
        <v>0.993595001237916</v>
      </c>
      <c r="V55" s="20">
        <f t="shared" ref="V55:V58" si="22">1/(1+S55^2)</f>
        <v>0.99372102494470749</v>
      </c>
      <c r="W55" s="26">
        <f t="shared" ref="W55:W58" si="23">V55-U55</f>
        <v>1.2602370679148933E-4</v>
      </c>
      <c r="Y55" s="74" t="s">
        <v>97</v>
      </c>
      <c r="Z55" s="74">
        <v>1802.2</v>
      </c>
      <c r="AA55" s="74">
        <v>25.324300000000001</v>
      </c>
      <c r="AC55" s="77">
        <f t="shared" ref="AC55:AC58" si="24">1+AC54</f>
        <v>2</v>
      </c>
      <c r="AD55" s="1">
        <f t="shared" ref="AD55:AD58" si="25">J55*2</f>
        <v>21173.885999999999</v>
      </c>
      <c r="AE55" s="78">
        <f t="shared" si="17"/>
        <v>7.9889354268045526E-2</v>
      </c>
      <c r="AF55" s="77">
        <f t="shared" si="18"/>
        <v>0.99682403994609525</v>
      </c>
    </row>
    <row r="56" spans="3:32">
      <c r="C56" s="24">
        <v>3</v>
      </c>
      <c r="D56" s="66">
        <v>1249.83</v>
      </c>
      <c r="E56" s="66">
        <v>20.519600000000001</v>
      </c>
      <c r="F56" s="66">
        <v>7222.11</v>
      </c>
      <c r="G56" s="66">
        <v>19.0229</v>
      </c>
      <c r="H56" s="3">
        <f>0.5*SUM(D56,F56)</f>
        <v>4235.9699999999993</v>
      </c>
      <c r="I56" s="3">
        <f>(F56-D56)/2</f>
        <v>2986.14</v>
      </c>
      <c r="J56" s="3">
        <f>I56*$D$9</f>
        <v>12989.708999999999</v>
      </c>
      <c r="K56" s="10">
        <f t="shared" si="15"/>
        <v>9.8020690594047721E-2</v>
      </c>
      <c r="L56" s="8">
        <f t="shared" ref="L56:L58" si="26">K56^2-K55^2</f>
        <v>3.2257468591687516E-3</v>
      </c>
      <c r="M56" s="20">
        <f t="shared" si="19"/>
        <v>0.99048338042720174</v>
      </c>
      <c r="N56" s="55">
        <f t="shared" ref="N56:N58" si="27">M55-M56</f>
        <v>3.1747861872528649E-3</v>
      </c>
      <c r="P56" s="18">
        <f t="shared" si="16"/>
        <v>19.771250000000002</v>
      </c>
      <c r="Q56" s="10">
        <f>P56*$D$9/(C$22*1000)</f>
        <v>6.4899555242137544E-4</v>
      </c>
      <c r="R56" s="7">
        <f>K56+0.5*Q56</f>
        <v>9.8345188370258407E-2</v>
      </c>
      <c r="S56" s="7">
        <f>K56-0.5*Q56</f>
        <v>9.7696192817837035E-2</v>
      </c>
      <c r="T56" s="11">
        <f t="shared" si="20"/>
        <v>1.2722998448161556E-4</v>
      </c>
      <c r="U56" s="20">
        <f t="shared" si="21"/>
        <v>0.9904208711140029</v>
      </c>
      <c r="V56" s="20">
        <f t="shared" si="22"/>
        <v>0.99054569099693934</v>
      </c>
      <c r="W56" s="26">
        <f t="shared" si="23"/>
        <v>1.2481988293644442E-4</v>
      </c>
      <c r="Y56" s="61" t="s">
        <v>98</v>
      </c>
      <c r="Z56" s="61">
        <v>2517.41</v>
      </c>
      <c r="AA56" s="61">
        <v>36.0565</v>
      </c>
      <c r="AC56" s="77">
        <f t="shared" si="24"/>
        <v>3</v>
      </c>
      <c r="AD56" s="1">
        <f t="shared" si="25"/>
        <v>25979.417999999998</v>
      </c>
      <c r="AE56" s="78">
        <f t="shared" si="17"/>
        <v>9.8020690594047721E-2</v>
      </c>
      <c r="AF56" s="77">
        <f t="shared" si="18"/>
        <v>0.9952303152673766</v>
      </c>
    </row>
    <row r="57" spans="3:32">
      <c r="C57" s="24">
        <v>4</v>
      </c>
      <c r="D57" s="66">
        <v>781.49099999999999</v>
      </c>
      <c r="E57" s="66">
        <v>17.624700000000001</v>
      </c>
      <c r="F57" s="66">
        <v>7690.57</v>
      </c>
      <c r="G57" s="66">
        <v>16.4956</v>
      </c>
      <c r="H57" s="29">
        <f>0.5*SUM(D57,F57)</f>
        <v>4236.0304999999998</v>
      </c>
      <c r="I57" s="3">
        <f>(F57-D57)/2</f>
        <v>3454.5394999999999</v>
      </c>
      <c r="J57" s="3">
        <f>I57*$D$9</f>
        <v>15027.246824999998</v>
      </c>
      <c r="K57" s="10">
        <f t="shared" si="15"/>
        <v>0.11339600536961304</v>
      </c>
      <c r="L57" s="8">
        <f t="shared" si="26"/>
        <v>3.2505982492512745E-3</v>
      </c>
      <c r="M57" s="20">
        <f t="shared" si="19"/>
        <v>0.98730459182771968</v>
      </c>
      <c r="N57" s="55">
        <f t="shared" si="27"/>
        <v>3.178788599482063E-3</v>
      </c>
      <c r="P57" s="18">
        <f t="shared" si="16"/>
        <v>17.06015</v>
      </c>
      <c r="Q57" s="10">
        <f>P57*$D$9/(C$22*1000)</f>
        <v>5.6000310924405531E-4</v>
      </c>
      <c r="R57" s="7">
        <f>K57+0.5*Q57</f>
        <v>0.11367600692423507</v>
      </c>
      <c r="S57" s="7">
        <f>K57-0.5*Q57</f>
        <v>0.11311600381499101</v>
      </c>
      <c r="T57" s="11">
        <f t="shared" si="20"/>
        <v>1.2700423116568035E-4</v>
      </c>
      <c r="U57" s="20">
        <f t="shared" si="21"/>
        <v>0.98724261931521684</v>
      </c>
      <c r="V57" s="20">
        <f t="shared" si="22"/>
        <v>0.9873664192562972</v>
      </c>
      <c r="W57" s="26">
        <f t="shared" si="23"/>
        <v>1.237999410803603E-4</v>
      </c>
      <c r="Y57" s="61" t="s">
        <v>99</v>
      </c>
      <c r="Z57" s="61">
        <v>5955.02</v>
      </c>
      <c r="AA57" s="61">
        <v>35.137999999999998</v>
      </c>
      <c r="AC57" s="77">
        <f t="shared" si="24"/>
        <v>4</v>
      </c>
      <c r="AD57" s="1">
        <f t="shared" si="25"/>
        <v>30054.493649999997</v>
      </c>
      <c r="AE57" s="78">
        <f t="shared" si="17"/>
        <v>0.11339600536961304</v>
      </c>
      <c r="AF57" s="77">
        <f t="shared" si="18"/>
        <v>0.99363202033132947</v>
      </c>
    </row>
    <row r="58" spans="3:32">
      <c r="C58" s="24">
        <v>5</v>
      </c>
      <c r="D58" s="66">
        <v>366.67599999999999</v>
      </c>
      <c r="E58" s="66">
        <v>15.045400000000001</v>
      </c>
      <c r="F58" s="66">
        <v>8105.91</v>
      </c>
      <c r="G58" s="66">
        <v>13.936299999999999</v>
      </c>
      <c r="H58" s="3">
        <f>0.5*SUM(D58,F58)</f>
        <v>4236.2929999999997</v>
      </c>
      <c r="I58" s="3">
        <f>(F58-D58)/2</f>
        <v>3869.6169999999997</v>
      </c>
      <c r="J58" s="3">
        <f>I58*$D$9</f>
        <v>16832.833949999997</v>
      </c>
      <c r="K58" s="10">
        <f t="shared" si="15"/>
        <v>0.12702101397605842</v>
      </c>
      <c r="L58" s="8">
        <f t="shared" si="26"/>
        <v>3.2756839577207184E-3</v>
      </c>
      <c r="M58" s="20">
        <f t="shared" si="19"/>
        <v>0.98412184551956272</v>
      </c>
      <c r="N58" s="55">
        <f t="shared" si="27"/>
        <v>3.1827463081569585E-3</v>
      </c>
      <c r="P58" s="18">
        <f t="shared" si="16"/>
        <v>14.49085</v>
      </c>
      <c r="Q58" s="10">
        <f>P58*$D$9/(C$22*1000)</f>
        <v>4.756652816997048E-4</v>
      </c>
      <c r="R58" s="7">
        <f>K58+0.5*Q58</f>
        <v>0.12725884661690826</v>
      </c>
      <c r="S58" s="7">
        <f>K58-0.5*Q58</f>
        <v>0.12678318133520858</v>
      </c>
      <c r="T58" s="11">
        <f t="shared" si="20"/>
        <v>1.208389727894027E-4</v>
      </c>
      <c r="U58" s="20">
        <f t="shared" si="21"/>
        <v>0.98406327820366901</v>
      </c>
      <c r="V58" s="20">
        <f t="shared" si="22"/>
        <v>0.98418031022950159</v>
      </c>
      <c r="W58" s="26">
        <f t="shared" si="23"/>
        <v>1.1703202583257521E-4</v>
      </c>
      <c r="Y58" s="74" t="s">
        <v>100</v>
      </c>
      <c r="Z58" s="74">
        <v>6669.76</v>
      </c>
      <c r="AA58" s="74">
        <v>23.347999999999999</v>
      </c>
      <c r="AC58" s="77">
        <f t="shared" si="24"/>
        <v>5</v>
      </c>
      <c r="AD58" s="1">
        <f t="shared" si="25"/>
        <v>33665.667899999993</v>
      </c>
      <c r="AE58" s="78">
        <f t="shared" si="17"/>
        <v>0.12702101397605842</v>
      </c>
      <c r="AF58" s="77">
        <f t="shared" si="18"/>
        <v>0.99202915557939264</v>
      </c>
    </row>
    <row r="59" spans="3:32">
      <c r="D59" s="14"/>
      <c r="E59" s="14"/>
      <c r="F59" s="14"/>
      <c r="G59" s="14"/>
      <c r="H59" s="3"/>
      <c r="I59" s="3"/>
      <c r="J59" s="3"/>
      <c r="K59" s="10"/>
      <c r="L59" s="8"/>
      <c r="M59" s="8"/>
      <c r="N59" s="8"/>
      <c r="P59" s="2"/>
      <c r="Q59" s="2"/>
      <c r="R59" s="7"/>
      <c r="S59" s="7"/>
      <c r="T59" s="11"/>
      <c r="U59" s="17"/>
      <c r="Y59" s="74" t="s">
        <v>101</v>
      </c>
      <c r="Z59" s="74">
        <v>7222.11</v>
      </c>
      <c r="AA59" s="74">
        <v>19.0229</v>
      </c>
      <c r="AC59" s="77"/>
      <c r="AD59" s="77"/>
      <c r="AE59" s="77"/>
      <c r="AF59" s="77"/>
    </row>
    <row r="60" spans="3:32">
      <c r="C60" t="s">
        <v>20</v>
      </c>
      <c r="L60" s="8">
        <f>AVERAGE(L55:L58)</f>
        <v>3.237776295081555E-3</v>
      </c>
      <c r="M60" s="8"/>
      <c r="N60" s="8">
        <f>AVERAGE(N55:N58)</f>
        <v>3.1762556217831972E-3</v>
      </c>
      <c r="O60" s="2"/>
      <c r="P60" s="77" t="s">
        <v>68</v>
      </c>
      <c r="R60" s="1"/>
      <c r="S60" s="2"/>
      <c r="T60" s="11">
        <f>AVERAGE(T54:T58)</f>
        <v>1.2691263471517386E-4</v>
      </c>
      <c r="U60" s="11"/>
      <c r="W60" s="21">
        <f>AVERAGE(W54:W58)</f>
        <v>1.2453849712423803E-4</v>
      </c>
      <c r="Y60" s="74" t="s">
        <v>102</v>
      </c>
      <c r="Z60" s="74">
        <v>7690.57</v>
      </c>
      <c r="AA60" s="74">
        <v>16.4956</v>
      </c>
      <c r="AC60" s="77"/>
      <c r="AD60" s="77" t="s">
        <v>126</v>
      </c>
      <c r="AE60" s="77"/>
      <c r="AF60" s="77"/>
    </row>
    <row r="61" spans="3:32">
      <c r="T61" s="2"/>
      <c r="Y61" s="74" t="s">
        <v>103</v>
      </c>
      <c r="Z61" s="74">
        <v>8105.91</v>
      </c>
      <c r="AA61" s="74">
        <v>13.936299999999999</v>
      </c>
      <c r="AC61" s="77"/>
      <c r="AD61" s="77" t="s">
        <v>121</v>
      </c>
      <c r="AE61" s="80">
        <v>1.00000617</v>
      </c>
      <c r="AF61" s="77"/>
    </row>
    <row r="62" spans="3:32">
      <c r="P62" t="s">
        <v>15</v>
      </c>
      <c r="T62" s="15">
        <f>L60/T60</f>
        <v>25.511851537461162</v>
      </c>
      <c r="W62" s="22">
        <f>N60/W60</f>
        <v>25.504207093607405</v>
      </c>
      <c r="AC62" s="77"/>
      <c r="AD62" s="77" t="s">
        <v>122</v>
      </c>
      <c r="AE62" s="40">
        <v>6562.8</v>
      </c>
      <c r="AF62" s="77"/>
    </row>
    <row r="63" spans="3:32">
      <c r="C63" t="s">
        <v>17</v>
      </c>
      <c r="D63" s="13">
        <f>$D$11*$D$10/N60</f>
        <v>2066206.4964140218</v>
      </c>
      <c r="E63" t="s">
        <v>3</v>
      </c>
      <c r="T63" s="2"/>
      <c r="AC63" s="77"/>
      <c r="AD63" s="77" t="s">
        <v>123</v>
      </c>
      <c r="AE63" s="5">
        <f>AE62*(1-AE61)</f>
        <v>-4.0492476000180758E-2</v>
      </c>
      <c r="AF63" s="77"/>
    </row>
    <row r="64" spans="3:32">
      <c r="D64" s="19">
        <f>D63/10^7</f>
        <v>0.20662064964140217</v>
      </c>
      <c r="E64" t="s">
        <v>5</v>
      </c>
      <c r="T64" s="2"/>
    </row>
    <row r="65" spans="1:41">
      <c r="T65" s="2"/>
      <c r="AD65" s="77" t="s">
        <v>127</v>
      </c>
      <c r="AE65" s="77"/>
    </row>
    <row r="66" spans="1:41">
      <c r="C66" t="s">
        <v>7</v>
      </c>
      <c r="D66" s="16">
        <f>$D$10^2/(2*$D$11*D63)</f>
        <v>10.422565197319384</v>
      </c>
      <c r="E66" t="s">
        <v>3</v>
      </c>
      <c r="G66" s="23"/>
      <c r="P66" t="s">
        <v>16</v>
      </c>
      <c r="T66" s="15">
        <f>D66/T62</f>
        <v>0.40853817223007394</v>
      </c>
      <c r="W66" s="27">
        <f>D66/W62</f>
        <v>0.40866062446347473</v>
      </c>
      <c r="AD66" s="77" t="s">
        <v>121</v>
      </c>
      <c r="AE66" s="80">
        <v>1.0000129600000001</v>
      </c>
    </row>
    <row r="67" spans="1:41">
      <c r="AD67" s="77" t="s">
        <v>122</v>
      </c>
      <c r="AE67" s="40">
        <v>6562.8</v>
      </c>
    </row>
    <row r="68" spans="1:41">
      <c r="AD68" s="77" t="s">
        <v>123</v>
      </c>
      <c r="AE68" s="5">
        <f>AE67*(1-AE66)</f>
        <v>-8.5053888000405656E-2</v>
      </c>
    </row>
    <row r="69" spans="1:41">
      <c r="C69" t="s">
        <v>30</v>
      </c>
      <c r="D69" t="s">
        <v>39</v>
      </c>
      <c r="F69" s="9"/>
    </row>
    <row r="70" spans="1:41">
      <c r="A70" s="40">
        <v>7665</v>
      </c>
      <c r="B70" s="45">
        <v>46046</v>
      </c>
      <c r="C70" s="49">
        <f>C46</f>
        <v>132.5200722549163</v>
      </c>
      <c r="D70" s="4">
        <v>1.8</v>
      </c>
      <c r="E70" s="40" t="s">
        <v>41</v>
      </c>
      <c r="F70" s="40" t="s">
        <v>104</v>
      </c>
      <c r="G70" s="40" t="s">
        <v>29</v>
      </c>
      <c r="H70" s="40" t="s">
        <v>69</v>
      </c>
      <c r="I70" s="28"/>
      <c r="J70" s="9"/>
      <c r="AH70" s="77" t="s">
        <v>126</v>
      </c>
      <c r="AO70" s="77" t="s">
        <v>127</v>
      </c>
    </row>
    <row r="71" spans="1:41">
      <c r="A71" s="74"/>
      <c r="C71" s="24" t="s">
        <v>128</v>
      </c>
      <c r="D71" s="24"/>
      <c r="E71" s="24"/>
      <c r="F71" s="24"/>
      <c r="G71" s="24"/>
      <c r="H71" s="31"/>
      <c r="I71" s="24"/>
      <c r="J71" s="24"/>
      <c r="K71" s="24"/>
      <c r="L71" s="25"/>
      <c r="M71" s="25"/>
      <c r="N71" s="25"/>
      <c r="P71" s="6" t="s">
        <v>10</v>
      </c>
      <c r="Q71" s="6"/>
      <c r="R71" s="6"/>
      <c r="S71" s="6"/>
      <c r="T71" s="6"/>
      <c r="Y71" s="75" t="s">
        <v>82</v>
      </c>
      <c r="Z71" s="75" t="s">
        <v>83</v>
      </c>
      <c r="AA71" s="75" t="s">
        <v>23</v>
      </c>
    </row>
    <row r="72" spans="1:41">
      <c r="A72" s="74"/>
      <c r="C72" s="24" t="s">
        <v>129</v>
      </c>
      <c r="D72" s="24"/>
      <c r="E72" s="24"/>
      <c r="F72" s="24"/>
      <c r="G72" s="24"/>
      <c r="H72" s="31"/>
      <c r="I72" s="24"/>
      <c r="J72" s="24"/>
      <c r="K72" s="24"/>
      <c r="L72" s="25"/>
      <c r="M72" s="25"/>
      <c r="N72" s="25"/>
      <c r="Y72" s="75" t="s">
        <v>106</v>
      </c>
      <c r="Z72" s="75">
        <v>23.322700000000001</v>
      </c>
      <c r="AA72" s="75">
        <v>10.787599999999999</v>
      </c>
    </row>
    <row r="73" spans="1:41">
      <c r="C73" s="9"/>
      <c r="D73" s="2" t="s">
        <v>0</v>
      </c>
      <c r="E73" s="2" t="s">
        <v>0</v>
      </c>
      <c r="F73" s="2" t="s">
        <v>0</v>
      </c>
      <c r="G73" s="2" t="s">
        <v>0</v>
      </c>
      <c r="H73" s="2" t="s">
        <v>9</v>
      </c>
      <c r="I73" s="2" t="s">
        <v>0</v>
      </c>
      <c r="J73" s="2" t="s">
        <v>6</v>
      </c>
      <c r="K73" s="2" t="s">
        <v>8</v>
      </c>
      <c r="L73" s="30" t="s">
        <v>32</v>
      </c>
      <c r="M73" s="30" t="s">
        <v>33</v>
      </c>
      <c r="N73" s="30"/>
      <c r="Y73" s="75" t="s">
        <v>107</v>
      </c>
      <c r="Z73" s="75">
        <v>398.63499999999999</v>
      </c>
      <c r="AA73" s="75">
        <v>11.609400000000001</v>
      </c>
    </row>
    <row r="74" spans="1:41">
      <c r="C74" s="56" t="s">
        <v>60</v>
      </c>
      <c r="D74" s="4">
        <v>3933</v>
      </c>
      <c r="E74" s="4"/>
      <c r="F74" s="4">
        <v>4635</v>
      </c>
      <c r="G74" s="4"/>
      <c r="H74" s="3">
        <f>0.5*SUM(D74,F74)</f>
        <v>4284</v>
      </c>
      <c r="I74" s="3">
        <f>(F74-D74)/2</f>
        <v>351</v>
      </c>
      <c r="J74" s="3">
        <f>I74*$D$9</f>
        <v>1526.85</v>
      </c>
      <c r="K74" s="10">
        <f>J74/($C$70*1000)</f>
        <v>1.1521650826321188E-2</v>
      </c>
      <c r="L74" s="20">
        <f>180*K74/PI()</f>
        <v>0.66014196537162151</v>
      </c>
      <c r="M74" s="15">
        <f>L74^2</f>
        <v>0.43578741444470714</v>
      </c>
      <c r="N74" s="2"/>
      <c r="Y74" s="75" t="s">
        <v>108</v>
      </c>
      <c r="Z74" s="75">
        <v>811.34199999999998</v>
      </c>
      <c r="AA74" s="75">
        <v>13.0336</v>
      </c>
    </row>
    <row r="75" spans="1:41">
      <c r="C75" s="9"/>
      <c r="D75" s="57" t="s">
        <v>63</v>
      </c>
      <c r="E75" s="57"/>
      <c r="F75" s="58" t="s">
        <v>64</v>
      </c>
      <c r="G75" s="57"/>
      <c r="H75" s="39"/>
      <c r="I75" s="9"/>
      <c r="J75" s="9"/>
      <c r="K75" s="9"/>
      <c r="L75" s="30" t="s">
        <v>18</v>
      </c>
      <c r="M75" s="30"/>
      <c r="N75" s="30"/>
      <c r="Y75" s="75" t="s">
        <v>109</v>
      </c>
      <c r="Z75" s="75">
        <v>1276.5899999999999</v>
      </c>
      <c r="AA75" s="75">
        <v>14.8178</v>
      </c>
    </row>
    <row r="76" spans="1:41">
      <c r="D76" s="2" t="s">
        <v>62</v>
      </c>
      <c r="E76" s="2" t="s">
        <v>56</v>
      </c>
      <c r="F76" s="2" t="s">
        <v>66</v>
      </c>
      <c r="G76" s="2" t="s">
        <v>57</v>
      </c>
      <c r="H76" s="2" t="s">
        <v>58</v>
      </c>
      <c r="I76" s="2" t="s">
        <v>59</v>
      </c>
      <c r="J76" s="2" t="s">
        <v>59</v>
      </c>
      <c r="K76" s="2" t="s">
        <v>59</v>
      </c>
      <c r="L76" s="2" t="s">
        <v>14</v>
      </c>
      <c r="M76" s="2"/>
      <c r="N76" s="2"/>
      <c r="P76" s="2" t="s">
        <v>26</v>
      </c>
      <c r="Q76" s="2" t="s">
        <v>23</v>
      </c>
      <c r="R76" s="2" t="s">
        <v>11</v>
      </c>
      <c r="S76" s="2" t="s">
        <v>12</v>
      </c>
      <c r="T76" s="2" t="s">
        <v>13</v>
      </c>
      <c r="U76" s="2" t="s">
        <v>11</v>
      </c>
      <c r="V76" s="2" t="s">
        <v>12</v>
      </c>
      <c r="W76" s="2" t="s">
        <v>25</v>
      </c>
      <c r="Y76" s="75" t="s">
        <v>110</v>
      </c>
      <c r="Z76" s="75">
        <v>1824.46</v>
      </c>
      <c r="AA76" s="75">
        <v>18.102499999999999</v>
      </c>
      <c r="AC76" s="77" t="s">
        <v>120</v>
      </c>
      <c r="AD76" s="77" t="s">
        <v>118</v>
      </c>
      <c r="AE76" s="77" t="s">
        <v>119</v>
      </c>
      <c r="AF76" s="77"/>
    </row>
    <row r="77" spans="1:41">
      <c r="C77" s="24" t="s">
        <v>61</v>
      </c>
      <c r="D77" s="2" t="s">
        <v>0</v>
      </c>
      <c r="E77" s="2" t="s">
        <v>0</v>
      </c>
      <c r="F77" s="2" t="s">
        <v>0</v>
      </c>
      <c r="G77" s="2" t="s">
        <v>0</v>
      </c>
      <c r="H77" s="2" t="s">
        <v>9</v>
      </c>
      <c r="I77" s="2" t="s">
        <v>0</v>
      </c>
      <c r="J77" s="2" t="s">
        <v>6</v>
      </c>
      <c r="K77" s="2" t="s">
        <v>8</v>
      </c>
      <c r="L77" s="2" t="s">
        <v>19</v>
      </c>
      <c r="M77" s="2" t="s">
        <v>24</v>
      </c>
      <c r="N77" s="2" t="s">
        <v>25</v>
      </c>
      <c r="P77" s="2" t="s">
        <v>0</v>
      </c>
      <c r="Q77" s="2" t="s">
        <v>8</v>
      </c>
      <c r="R77" s="2" t="s">
        <v>8</v>
      </c>
      <c r="S77" s="2" t="s">
        <v>8</v>
      </c>
      <c r="T77" s="2" t="s">
        <v>19</v>
      </c>
      <c r="U77" s="2" t="s">
        <v>24</v>
      </c>
      <c r="V77" s="2" t="s">
        <v>8</v>
      </c>
      <c r="Y77" s="61" t="s">
        <v>111</v>
      </c>
      <c r="Z77" s="61">
        <v>2530.44</v>
      </c>
      <c r="AA77" s="61">
        <v>27.188300000000002</v>
      </c>
      <c r="AC77" s="77">
        <v>0</v>
      </c>
      <c r="AD77" s="1">
        <f>J74*2</f>
        <v>3053.7</v>
      </c>
      <c r="AE77" s="78">
        <f>AD77/(2*$AE$26)</f>
        <v>1.1521650826321188E-2</v>
      </c>
      <c r="AF77" s="77">
        <f>1/SQRT(1+AE77^2)</f>
        <v>0.99993363238869271</v>
      </c>
    </row>
    <row r="78" spans="1:41">
      <c r="C78" s="24">
        <v>1</v>
      </c>
      <c r="D78" s="4">
        <v>2530.44</v>
      </c>
      <c r="E78" s="4">
        <v>27.188300000000002</v>
      </c>
      <c r="F78" s="4">
        <v>6034.61</v>
      </c>
      <c r="G78" s="4">
        <v>30.939599999999999</v>
      </c>
      <c r="H78" s="3">
        <f>0.5*SUM(D78,F78)</f>
        <v>4282.5249999999996</v>
      </c>
      <c r="I78" s="3">
        <f>(F78-D78)/2</f>
        <v>1752.0849999999998</v>
      </c>
      <c r="J78" s="3">
        <f>I78*$D$9</f>
        <v>7621.5697499999987</v>
      </c>
      <c r="K78" s="10">
        <f t="shared" ref="K78:K82" si="28">J78/($C$70*1000)</f>
        <v>5.7512568626880214E-2</v>
      </c>
      <c r="L78" s="8"/>
      <c r="M78" s="20">
        <f>1/(1+K78^2)</f>
        <v>0.99670320923009759</v>
      </c>
      <c r="N78" s="20"/>
      <c r="P78" s="18">
        <f t="shared" ref="P78:P82" si="29">AVERAGE(E78,G78)</f>
        <v>29.063949999999998</v>
      </c>
      <c r="Q78" s="10">
        <f>P78*$D$9/(C$70*1000)</f>
        <v>9.54030437417828E-4</v>
      </c>
      <c r="R78" s="7">
        <f>K78+0.5*Q78</f>
        <v>5.7989583845589131E-2</v>
      </c>
      <c r="S78" s="7">
        <f>K78-0.5*Q78</f>
        <v>5.7035553408171298E-2</v>
      </c>
      <c r="T78" s="11">
        <f>R78^2-S78^2</f>
        <v>1.097374820082514E-4</v>
      </c>
      <c r="U78" s="20">
        <f>1/(1+R78^2)</f>
        <v>0.996648478634098</v>
      </c>
      <c r="V78" s="20">
        <f>1/(1+S78^2)</f>
        <v>0.99675749369666689</v>
      </c>
      <c r="W78" s="26">
        <f>V78-U78</f>
        <v>1.090150625688846E-4</v>
      </c>
      <c r="Y78" s="61" t="s">
        <v>112</v>
      </c>
      <c r="Z78" s="61">
        <v>6034.61</v>
      </c>
      <c r="AA78" s="61">
        <v>30.939599999999999</v>
      </c>
      <c r="AC78" s="77">
        <f>1+AC77</f>
        <v>1</v>
      </c>
      <c r="AD78" s="1">
        <f>J78*2</f>
        <v>15243.139499999997</v>
      </c>
      <c r="AE78" s="78">
        <f t="shared" ref="AE78:AE82" si="30">AD78/(2*$AE$26)</f>
        <v>5.7512568626880214E-2</v>
      </c>
      <c r="AF78" s="77">
        <f t="shared" ref="AF78:AF82" si="31">1/SQRT(1+AE78^2)</f>
        <v>0.99835024376723502</v>
      </c>
    </row>
    <row r="79" spans="1:41">
      <c r="C79" s="24">
        <v>2</v>
      </c>
      <c r="D79" s="4">
        <v>1824.46</v>
      </c>
      <c r="E79" s="4">
        <v>18.102499999999999</v>
      </c>
      <c r="F79" s="4">
        <v>6741.04</v>
      </c>
      <c r="G79" s="4">
        <v>23.349</v>
      </c>
      <c r="H79" s="3">
        <f>0.5*SUM(D79,F79)</f>
        <v>4282.75</v>
      </c>
      <c r="I79" s="3">
        <f>(F79-D79)/2</f>
        <v>2458.29</v>
      </c>
      <c r="J79" s="3">
        <f>I79*$D$9</f>
        <v>10693.5615</v>
      </c>
      <c r="K79" s="10">
        <f t="shared" si="28"/>
        <v>8.0693900312926253E-2</v>
      </c>
      <c r="L79" s="8">
        <f>K79^2-K78^2</f>
        <v>3.2038099976508731E-3</v>
      </c>
      <c r="M79" s="20">
        <f t="shared" ref="M79:M82" si="32">1/(1+K79^2)</f>
        <v>0.99353061985697899</v>
      </c>
      <c r="N79" s="20">
        <f>M78-M79</f>
        <v>3.172589373118595E-3</v>
      </c>
      <c r="P79" s="18">
        <f t="shared" si="29"/>
        <v>20.725749999999998</v>
      </c>
      <c r="Q79" s="10">
        <f>P79*$D$9/(C$70*1000)</f>
        <v>6.8032722112144244E-4</v>
      </c>
      <c r="R79" s="7">
        <f>K79+0.5*Q79</f>
        <v>8.1034063923486971E-2</v>
      </c>
      <c r="S79" s="7">
        <f>K79-0.5*Q79</f>
        <v>8.0353736702365536E-2</v>
      </c>
      <c r="T79" s="11">
        <f t="shared" ref="T79:T82" si="33">R79^2-S79^2</f>
        <v>1.097965139226862E-4</v>
      </c>
      <c r="U79" s="20">
        <f t="shared" ref="U79:U82" si="34">1/(1+R79^2)</f>
        <v>0.99347631836680439</v>
      </c>
      <c r="V79" s="20">
        <f t="shared" ref="V79:V82" si="35">1/(1+S79^2)</f>
        <v>0.99358469882065648</v>
      </c>
      <c r="W79" s="26">
        <f t="shared" ref="W79:W82" si="36">V79-U79</f>
        <v>1.0838045385208606E-4</v>
      </c>
      <c r="Y79" s="75" t="s">
        <v>113</v>
      </c>
      <c r="Z79" s="75">
        <v>6741.04</v>
      </c>
      <c r="AA79" s="75">
        <v>23.349</v>
      </c>
      <c r="AC79" s="77">
        <f t="shared" ref="AC79:AC82" si="37">1+AC78</f>
        <v>2</v>
      </c>
      <c r="AD79" s="1">
        <f t="shared" ref="AD79:AD82" si="38">J79*2</f>
        <v>21387.123</v>
      </c>
      <c r="AE79" s="78">
        <f t="shared" si="30"/>
        <v>8.0693900312926253E-2</v>
      </c>
      <c r="AF79" s="77">
        <f t="shared" si="31"/>
        <v>0.99676006132718775</v>
      </c>
    </row>
    <row r="80" spans="1:41">
      <c r="C80" s="24">
        <v>3</v>
      </c>
      <c r="D80" s="4">
        <v>1276.5899999999999</v>
      </c>
      <c r="E80" s="4">
        <v>14.8178</v>
      </c>
      <c r="F80" s="65">
        <v>7289.5</v>
      </c>
      <c r="G80" s="4">
        <v>19.922799999999999</v>
      </c>
      <c r="H80" s="3">
        <f>0.5*SUM(D80,F80)</f>
        <v>4283.0450000000001</v>
      </c>
      <c r="I80" s="3">
        <f>(F80-D80)/2</f>
        <v>3006.4549999999999</v>
      </c>
      <c r="J80" s="3">
        <f>I80*$D$9</f>
        <v>13078.079249999999</v>
      </c>
      <c r="K80" s="10">
        <f t="shared" si="28"/>
        <v>9.8687534857685083E-2</v>
      </c>
      <c r="L80" s="8">
        <f t="shared" ref="L80:L82" si="39">K80^2-K79^2</f>
        <v>3.2277239885743292E-3</v>
      </c>
      <c r="M80" s="20">
        <f t="shared" si="32"/>
        <v>0.9903547081747438</v>
      </c>
      <c r="N80" s="20">
        <f t="shared" ref="N80:N82" si="40">M79-M80</f>
        <v>3.1759116822351885E-3</v>
      </c>
      <c r="P80" s="18">
        <f t="shared" si="29"/>
        <v>17.3703</v>
      </c>
      <c r="Q80" s="10">
        <f>P80*$D$9/(C$70*1000)</f>
        <v>5.7018384999557538E-4</v>
      </c>
      <c r="R80" s="7">
        <f>K80+0.5*Q80</f>
        <v>9.8972626782682871E-2</v>
      </c>
      <c r="S80" s="7">
        <f>K80-0.5*Q80</f>
        <v>9.8402442932687295E-2</v>
      </c>
      <c r="T80" s="11">
        <f t="shared" si="33"/>
        <v>1.1254007714345433E-4</v>
      </c>
      <c r="U80" s="20">
        <f t="shared" si="34"/>
        <v>0.99029944175038198</v>
      </c>
      <c r="V80" s="20">
        <f t="shared" si="35"/>
        <v>0.99040982131611599</v>
      </c>
      <c r="W80" s="26">
        <f t="shared" si="36"/>
        <v>1.1037956573400898E-4</v>
      </c>
      <c r="Y80" s="75" t="s">
        <v>114</v>
      </c>
      <c r="Z80" s="75">
        <v>7289.5</v>
      </c>
      <c r="AA80" s="75">
        <v>19.922799999999999</v>
      </c>
      <c r="AC80" s="77">
        <f t="shared" si="37"/>
        <v>3</v>
      </c>
      <c r="AD80" s="1">
        <f t="shared" si="38"/>
        <v>26156.158499999998</v>
      </c>
      <c r="AE80" s="78">
        <f t="shared" si="30"/>
        <v>9.8687534857685083E-2</v>
      </c>
      <c r="AF80" s="77">
        <f t="shared" si="31"/>
        <v>0.99516566870785073</v>
      </c>
    </row>
    <row r="81" spans="3:32">
      <c r="C81" s="24">
        <v>4</v>
      </c>
      <c r="D81" s="4">
        <v>811.34199999999998</v>
      </c>
      <c r="E81" s="4">
        <v>13.0336</v>
      </c>
      <c r="F81" s="4">
        <v>7755.49</v>
      </c>
      <c r="G81" s="4">
        <v>17.809799999999999</v>
      </c>
      <c r="H81" s="29">
        <f>0.5*SUM(D81,F81)</f>
        <v>4283.4160000000002</v>
      </c>
      <c r="I81" s="3">
        <f>(F81-D81)/2</f>
        <v>3472.0740000000001</v>
      </c>
      <c r="J81" s="3">
        <f>I81*$D$9</f>
        <v>15103.5219</v>
      </c>
      <c r="K81" s="10">
        <f t="shared" si="28"/>
        <v>0.11397157912008066</v>
      </c>
      <c r="L81" s="8">
        <f t="shared" si="39"/>
        <v>3.2502913108379966E-3</v>
      </c>
      <c r="M81" s="20">
        <f t="shared" si="32"/>
        <v>0.98717704321732547</v>
      </c>
      <c r="N81" s="20">
        <f t="shared" si="40"/>
        <v>3.1776649574183358E-3</v>
      </c>
      <c r="P81" s="18">
        <f t="shared" si="29"/>
        <v>15.4217</v>
      </c>
      <c r="Q81" s="10">
        <f>P81*$D$9/(C$70*1000)</f>
        <v>5.0622063404067645E-4</v>
      </c>
      <c r="R81" s="7">
        <f>K81+0.5*Q81</f>
        <v>0.114224689437101</v>
      </c>
      <c r="S81" s="7">
        <f>K81-0.5*Q81</f>
        <v>0.11371846880306032</v>
      </c>
      <c r="T81" s="11">
        <f t="shared" si="33"/>
        <v>1.1538953008957166E-4</v>
      </c>
      <c r="U81" s="20">
        <f t="shared" si="34"/>
        <v>0.98712075937742783</v>
      </c>
      <c r="V81" s="20">
        <f t="shared" si="35"/>
        <v>0.987233208597039</v>
      </c>
      <c r="W81" s="26">
        <f t="shared" si="36"/>
        <v>1.1244921961117704E-4</v>
      </c>
      <c r="Y81" s="75" t="s">
        <v>115</v>
      </c>
      <c r="Z81" s="75">
        <v>7755.49</v>
      </c>
      <c r="AA81" s="75">
        <v>17.809799999999999</v>
      </c>
      <c r="AC81" s="77">
        <f t="shared" si="37"/>
        <v>4</v>
      </c>
      <c r="AD81" s="1">
        <f t="shared" si="38"/>
        <v>30207.043799999999</v>
      </c>
      <c r="AE81" s="78">
        <f t="shared" si="30"/>
        <v>0.11397157912008066</v>
      </c>
      <c r="AF81" s="77">
        <f t="shared" si="31"/>
        <v>0.99356783523689285</v>
      </c>
    </row>
    <row r="82" spans="3:32">
      <c r="C82" s="24">
        <v>5</v>
      </c>
      <c r="D82" s="4">
        <v>398.63499999999999</v>
      </c>
      <c r="E82" s="4">
        <v>11.609400000000001</v>
      </c>
      <c r="F82" s="4">
        <v>8169.33</v>
      </c>
      <c r="G82" s="4">
        <v>15.4216</v>
      </c>
      <c r="H82" s="3">
        <f>0.5*SUM(D82,F82)</f>
        <v>4283.9825000000001</v>
      </c>
      <c r="I82" s="3">
        <f>(F82-D82)/2</f>
        <v>3885.3474999999999</v>
      </c>
      <c r="J82" s="3">
        <f>I82*$D$9</f>
        <v>16901.261624999999</v>
      </c>
      <c r="K82" s="10">
        <f t="shared" si="28"/>
        <v>0.12753737103680901</v>
      </c>
      <c r="L82" s="8">
        <f t="shared" si="39"/>
        <v>3.2762601638558833E-3</v>
      </c>
      <c r="M82" s="20">
        <f t="shared" si="32"/>
        <v>0.98399455997150709</v>
      </c>
      <c r="N82" s="20">
        <f t="shared" si="40"/>
        <v>3.1824832458183794E-3</v>
      </c>
      <c r="P82" s="18">
        <f t="shared" si="29"/>
        <v>13.515499999999999</v>
      </c>
      <c r="Q82" s="10">
        <f>P82*$D$9/(C$70*1000)</f>
        <v>4.436492072454245E-4</v>
      </c>
      <c r="R82" s="7">
        <f>K82+0.5*Q82</f>
        <v>0.12775919564043173</v>
      </c>
      <c r="S82" s="7">
        <f>K82-0.5*Q82</f>
        <v>0.12731554643318629</v>
      </c>
      <c r="T82" s="11">
        <f t="shared" si="33"/>
        <v>1.1316370710929419E-4</v>
      </c>
      <c r="U82" s="20">
        <f t="shared" si="34"/>
        <v>0.98393973026981241</v>
      </c>
      <c r="V82" s="20">
        <f t="shared" si="35"/>
        <v>0.98404930048640793</v>
      </c>
      <c r="W82" s="26">
        <f t="shared" si="36"/>
        <v>1.0957021659552257E-4</v>
      </c>
      <c r="Y82" s="75" t="s">
        <v>116</v>
      </c>
      <c r="Z82" s="75">
        <v>8169.33</v>
      </c>
      <c r="AA82" s="75">
        <v>15.4216</v>
      </c>
      <c r="AC82" s="77">
        <f t="shared" si="37"/>
        <v>5</v>
      </c>
      <c r="AD82" s="1">
        <f t="shared" si="38"/>
        <v>33802.523249999998</v>
      </c>
      <c r="AE82" s="78">
        <f t="shared" si="30"/>
        <v>0.12753737103680901</v>
      </c>
      <c r="AF82" s="77">
        <f t="shared" si="31"/>
        <v>0.99196499936817673</v>
      </c>
    </row>
    <row r="83" spans="3:32">
      <c r="D83" s="14"/>
      <c r="E83" s="14"/>
      <c r="F83" s="14"/>
      <c r="G83" s="14"/>
      <c r="H83" s="3"/>
      <c r="I83" s="3"/>
      <c r="J83" s="3"/>
      <c r="K83" s="10"/>
      <c r="L83" s="8"/>
      <c r="M83" s="8"/>
      <c r="N83" s="8"/>
      <c r="P83" s="2"/>
      <c r="Q83" s="2"/>
      <c r="R83" s="7"/>
      <c r="S83" s="7"/>
      <c r="T83" s="11"/>
      <c r="U83" s="17"/>
      <c r="AC83" s="77"/>
      <c r="AD83" s="77"/>
      <c r="AE83" s="77"/>
      <c r="AF83" s="77"/>
    </row>
    <row r="84" spans="3:32">
      <c r="C84" t="s">
        <v>20</v>
      </c>
      <c r="L84" s="8">
        <f>AVERAGE(L79:L82)</f>
        <v>3.2395213652297705E-3</v>
      </c>
      <c r="M84" s="8"/>
      <c r="N84" s="8">
        <f>AVERAGE(N79:N82)</f>
        <v>3.1771623146476247E-3</v>
      </c>
      <c r="O84" s="2"/>
      <c r="P84" t="s">
        <v>21</v>
      </c>
      <c r="R84" s="1"/>
      <c r="S84" s="2"/>
      <c r="T84" s="11">
        <f>AVERAGE(T78:T82)</f>
        <v>1.1212546205465155E-4</v>
      </c>
      <c r="U84" s="11"/>
      <c r="W84" s="21">
        <f>AVERAGE(W78:W82)</f>
        <v>1.0995890367233585E-4</v>
      </c>
      <c r="AC84" s="77"/>
      <c r="AD84" s="77" t="s">
        <v>126</v>
      </c>
      <c r="AE84" s="77"/>
      <c r="AF84" s="77"/>
    </row>
    <row r="85" spans="3:32">
      <c r="T85" s="2"/>
      <c r="AC85" s="77"/>
      <c r="AD85" s="77" t="s">
        <v>121</v>
      </c>
      <c r="AE85" s="40">
        <v>0.99994170000000004</v>
      </c>
      <c r="AF85" s="77"/>
    </row>
    <row r="86" spans="3:32">
      <c r="P86" t="s">
        <v>15</v>
      </c>
      <c r="T86" s="15">
        <f>L84/T84</f>
        <v>28.891933249298731</v>
      </c>
      <c r="W86" s="22">
        <f>N84/W84</f>
        <v>28.894088687126072</v>
      </c>
      <c r="AC86" s="77"/>
      <c r="AD86" s="77" t="s">
        <v>122</v>
      </c>
      <c r="AE86" s="40">
        <v>6562.8</v>
      </c>
      <c r="AF86" s="77"/>
    </row>
    <row r="87" spans="3:32">
      <c r="C87" t="s">
        <v>17</v>
      </c>
      <c r="D87" s="13">
        <f>$D$11*$D$10/N84</f>
        <v>2065616.8461219687</v>
      </c>
      <c r="E87" t="s">
        <v>3</v>
      </c>
      <c r="T87" s="2"/>
      <c r="AC87" s="77"/>
      <c r="AD87" s="77" t="s">
        <v>123</v>
      </c>
      <c r="AE87" s="5">
        <f>AE86*(1-AE85)</f>
        <v>0.3826112399997087</v>
      </c>
      <c r="AF87" s="77"/>
    </row>
    <row r="88" spans="3:32">
      <c r="D88" s="19">
        <f>D87/10^7</f>
        <v>0.20656168461219687</v>
      </c>
      <c r="E88" t="s">
        <v>5</v>
      </c>
      <c r="T88" s="2"/>
    </row>
    <row r="89" spans="3:32">
      <c r="T89" s="2"/>
      <c r="AD89" s="77" t="s">
        <v>127</v>
      </c>
      <c r="AE89" s="77"/>
    </row>
    <row r="90" spans="3:32">
      <c r="C90" t="s">
        <v>7</v>
      </c>
      <c r="D90" s="16">
        <f>$D$10^2/(2*$D$11*D87)</f>
        <v>10.425540419284715</v>
      </c>
      <c r="E90" t="s">
        <v>3</v>
      </c>
      <c r="G90" s="23"/>
      <c r="P90" t="s">
        <v>16</v>
      </c>
      <c r="T90" s="15">
        <f>D90/T86</f>
        <v>0.36084606486268156</v>
      </c>
      <c r="W90" s="27">
        <f>D90/W86</f>
        <v>0.36081914651040281</v>
      </c>
      <c r="AD90" s="77" t="s">
        <v>121</v>
      </c>
      <c r="AE90" s="80">
        <v>0.99995058000000003</v>
      </c>
    </row>
    <row r="91" spans="3:32">
      <c r="AD91" s="77" t="s">
        <v>122</v>
      </c>
      <c r="AE91" s="40">
        <v>6562.8</v>
      </c>
    </row>
    <row r="92" spans="3:32">
      <c r="AD92" s="77" t="s">
        <v>123</v>
      </c>
      <c r="AE92" s="5">
        <f>AE91*(1-AE90)</f>
        <v>0.32433357599978158</v>
      </c>
    </row>
    <row r="93" spans="3:32">
      <c r="F93" s="9"/>
    </row>
    <row r="94" spans="3:32">
      <c r="P94" s="68"/>
    </row>
    <row r="95" spans="3:32">
      <c r="O95" t="s">
        <v>80</v>
      </c>
      <c r="Q95" s="40">
        <v>0.26300000000000001</v>
      </c>
      <c r="R95" t="s">
        <v>3</v>
      </c>
    </row>
    <row r="97" spans="1:26" ht="45">
      <c r="A97" s="35" t="s">
        <v>37</v>
      </c>
      <c r="B97" s="35" t="s">
        <v>38</v>
      </c>
      <c r="C97" s="35" t="s">
        <v>70</v>
      </c>
      <c r="D97" s="35" t="s">
        <v>39</v>
      </c>
      <c r="E97" s="35" t="s">
        <v>27</v>
      </c>
      <c r="F97" s="35" t="s">
        <v>71</v>
      </c>
      <c r="G97" s="35" t="s">
        <v>31</v>
      </c>
      <c r="H97" s="35" t="s">
        <v>28</v>
      </c>
      <c r="I97" s="35" t="s">
        <v>105</v>
      </c>
      <c r="J97" s="35" t="s">
        <v>34</v>
      </c>
      <c r="K97" s="42" t="s">
        <v>53</v>
      </c>
      <c r="L97" s="35" t="s">
        <v>35</v>
      </c>
      <c r="M97" s="35" t="s">
        <v>36</v>
      </c>
      <c r="N97" s="35" t="s">
        <v>40</v>
      </c>
      <c r="O97" s="70" t="s">
        <v>79</v>
      </c>
      <c r="R97" s="71" t="s">
        <v>124</v>
      </c>
    </row>
    <row r="98" spans="1:26">
      <c r="A98" s="41">
        <f>A22</f>
        <v>7650</v>
      </c>
      <c r="B98" s="43">
        <f>B22</f>
        <v>46046</v>
      </c>
      <c r="C98" s="47">
        <f>C22</f>
        <v>132.5200722549163</v>
      </c>
      <c r="D98" s="41">
        <f>D22</f>
        <v>1.8</v>
      </c>
      <c r="E98" s="41" t="str">
        <f>E22</f>
        <v>100 ISO</v>
      </c>
      <c r="F98" s="47">
        <f>C98/D98</f>
        <v>73.622262363842381</v>
      </c>
      <c r="G98" s="41" t="str">
        <f>G22</f>
        <v>centre</v>
      </c>
      <c r="H98" s="41" t="str">
        <f>H22</f>
        <v>0 cm</v>
      </c>
      <c r="I98" s="32">
        <v>5</v>
      </c>
      <c r="J98" s="34">
        <f>D42</f>
        <v>10.424432849763321</v>
      </c>
      <c r="K98" s="53">
        <f>D40</f>
        <v>0.2065836312667019</v>
      </c>
      <c r="L98" s="48">
        <f>W42</f>
        <v>0.33517298487197161</v>
      </c>
      <c r="M98" s="48">
        <f>M26</f>
        <v>0.25881830554762414</v>
      </c>
      <c r="N98" s="34">
        <f>L26</f>
        <v>0.50874188499436934</v>
      </c>
      <c r="O98" s="27">
        <f>SQRT(L98^2-$Q$95^2)</f>
        <v>0.20777855950022109</v>
      </c>
      <c r="P98" s="77" t="s">
        <v>130</v>
      </c>
      <c r="R98" s="27">
        <f>AE39</f>
        <v>0.20351242800035108</v>
      </c>
      <c r="S98" t="s">
        <v>78</v>
      </c>
      <c r="X98" s="1"/>
    </row>
    <row r="99" spans="1:26">
      <c r="A99" s="41">
        <f>A46</f>
        <v>7660</v>
      </c>
      <c r="B99" s="43">
        <f>B46</f>
        <v>46046</v>
      </c>
      <c r="C99" s="52">
        <f>C46</f>
        <v>132.5200722549163</v>
      </c>
      <c r="D99" s="41">
        <f>D46</f>
        <v>1.8</v>
      </c>
      <c r="E99" s="41" t="str">
        <f>E46</f>
        <v>100 ISO</v>
      </c>
      <c r="F99" s="33">
        <f>C99/D99</f>
        <v>73.622262363842381</v>
      </c>
      <c r="G99" s="41" t="str">
        <f>G46</f>
        <v>centre</v>
      </c>
      <c r="H99" s="41" t="str">
        <f>H46</f>
        <v>0 cm</v>
      </c>
      <c r="I99" s="32">
        <v>5</v>
      </c>
      <c r="J99" s="34">
        <f>D66</f>
        <v>10.422565197319384</v>
      </c>
      <c r="K99" s="54">
        <f>D64</f>
        <v>0.20662064964140217</v>
      </c>
      <c r="L99" s="48">
        <f>W66</f>
        <v>0.40866062446347473</v>
      </c>
      <c r="M99" s="48">
        <f>M50</f>
        <v>0</v>
      </c>
      <c r="N99" s="34">
        <f>L50</f>
        <v>0</v>
      </c>
      <c r="O99" s="27">
        <f>SQRT(L99^2-$Q$95^2)</f>
        <v>0.31278507954644691</v>
      </c>
      <c r="P99" s="76" t="s">
        <v>117</v>
      </c>
      <c r="R99" s="27">
        <f>AE63</f>
        <v>-4.0492476000180758E-2</v>
      </c>
    </row>
    <row r="100" spans="1:26">
      <c r="A100" s="41">
        <f>A70</f>
        <v>7665</v>
      </c>
      <c r="B100" s="43">
        <f t="shared" ref="B100:H100" si="41">B70</f>
        <v>46046</v>
      </c>
      <c r="C100" s="50">
        <f t="shared" si="41"/>
        <v>132.5200722549163</v>
      </c>
      <c r="D100" s="32">
        <f t="shared" si="41"/>
        <v>1.8</v>
      </c>
      <c r="E100" s="32" t="str">
        <f t="shared" si="41"/>
        <v>100 ISO</v>
      </c>
      <c r="F100" s="33">
        <f>C100/D100</f>
        <v>73.622262363842381</v>
      </c>
      <c r="G100" s="32" t="str">
        <f t="shared" si="41"/>
        <v>centre</v>
      </c>
      <c r="H100" s="32" t="str">
        <f t="shared" si="41"/>
        <v>0 cm</v>
      </c>
      <c r="I100" s="32">
        <v>3</v>
      </c>
      <c r="J100" s="34">
        <f>D90</f>
        <v>10.425540419284715</v>
      </c>
      <c r="K100" s="54">
        <f>D88</f>
        <v>0.20656168461219687</v>
      </c>
      <c r="L100" s="48">
        <f>W90</f>
        <v>0.36081914651040281</v>
      </c>
      <c r="M100" s="48">
        <f>M74</f>
        <v>0.43578741444470714</v>
      </c>
      <c r="N100" s="34">
        <f>L74</f>
        <v>0.66014196537162151</v>
      </c>
      <c r="O100" s="27">
        <f>SQRT(L100^2-$Q$95^2)</f>
        <v>0.24702521427679305</v>
      </c>
      <c r="P100" s="77" t="s">
        <v>131</v>
      </c>
      <c r="R100" s="27">
        <f>AE87</f>
        <v>0.3826112399997087</v>
      </c>
      <c r="S100" s="9"/>
      <c r="T100" s="9"/>
      <c r="U100" s="9"/>
      <c r="V100" s="9"/>
      <c r="W100" s="9"/>
      <c r="X100" s="9"/>
      <c r="Y100" s="9"/>
      <c r="Z100" s="9"/>
    </row>
    <row r="103" spans="1:26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26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26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26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26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air-spaced etalon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viladrich</dc:creator>
  <cp:lastModifiedBy>Viladrich</cp:lastModifiedBy>
  <dcterms:created xsi:type="dcterms:W3CDTF">2020-12-13T14:39:52Z</dcterms:created>
  <dcterms:modified xsi:type="dcterms:W3CDTF">2026-04-23T18:52:57Z</dcterms:modified>
</cp:coreProperties>
</file>